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65521" yWindow="65521" windowWidth="7545" windowHeight="1875" tabRatio="927" activeTab="0"/>
  </bookViews>
  <sheets>
    <sheet name="Main Data" sheetId="1" r:id="rId1"/>
    <sheet name="Stats" sheetId="2" r:id="rId2"/>
    <sheet name="Downtime" sheetId="3" r:id="rId3"/>
    <sheet name="Faults Per Day" sheetId="4" r:id="rId4"/>
  </sheets>
  <externalReferences>
    <externalReference r:id="rId9"/>
  </externalReferences>
  <definedNames>
    <definedName name="DT_Beamline">"$#REF!.$U$34"</definedName>
    <definedName name="DT_Controls">"$#REF!.$J$34"</definedName>
    <definedName name="DT_Diagnostics">"$#REF!.$L$34"</definedName>
    <definedName name="DT_OAG">"$#REF!.$I$34"</definedName>
    <definedName name="DT_Operations">"$#REF!.$K$34"</definedName>
    <definedName name="DT_Other">"$#REF!.$C$34"</definedName>
    <definedName name="DT_Physics">"$#REF!.$M$34"</definedName>
    <definedName name="DT_PS">"$#REF!.$D$34"</definedName>
    <definedName name="DT_RF">"$#REF!.$E$34"</definedName>
    <definedName name="DT_Scheduled">"$#REF!.$F$34"</definedName>
    <definedName name="DT_Vacuum">"$#REF!.$G$34"</definedName>
    <definedName name="DT_Water">"$#REF!.$H$34"</definedName>
    <definedName name="Excel_BuiltIn_Print_Area_11">'Main Data'!$A$2:$P$5</definedName>
    <definedName name="Excel_BuiltIn_Print_Area_1_1">'Main Data'!$A$2:$P$70</definedName>
    <definedName name="Excel_BuiltIn_Print_Area_1_1_1">'Main Data'!$A$2:$P$91</definedName>
    <definedName name="Excel_BuiltIn_Print_Area_1_1_11">'Main Data'!$A$2:$P$92</definedName>
    <definedName name="Excel_BuiltIn_Print_Area_1_1_1_1">'Main Data'!$A$2:$P$78</definedName>
    <definedName name="Excel_BuiltIn_Print_Area_41">'Faults Per Day'!$A$1:$W$67</definedName>
    <definedName name="Faults_Day_of_Delivered_Beam">'Main Data'!$D$120</definedName>
    <definedName name="Mean_Time_Between_Faults">'Main Data'!$D$119</definedName>
    <definedName name="Number_of_Fills">'Main Data'!$D$112</definedName>
    <definedName name="Number_of_Intentional_Dumps">'Main Data'!$D$111</definedName>
    <definedName name="Number_of_Lost_Fills">'Main Data'!$D$110</definedName>
    <definedName name="_xlnm.Print_Area" localSheetId="3">'Faults Per Day'!$A$1:$AC$81</definedName>
    <definedName name="_xlnm.Print_Area" localSheetId="0">'Main Data'!$A$2:$P$78</definedName>
    <definedName name="_xlnm.Print_Titles" localSheetId="0">'Main Data'!$5:$5</definedName>
    <definedName name="Refill_Time">'Main Data'!$D$1</definedName>
    <definedName name="Total_Schedule_Run_Length">'Main Data'!$D$116</definedName>
    <definedName name="Total_System_Downtime">'Main Data'!$K$112</definedName>
    <definedName name="Total_User_Beam">'Main Data'!$D$114</definedName>
    <definedName name="Total_User_Downtime">'Main Data'!$D$115</definedName>
    <definedName name="User_Beam_Days">'Main Data'!$E$114</definedName>
    <definedName name="X_ray_Availability">'Main Data'!$D$121</definedName>
  </definedNames>
  <calcPr fullCalcOnLoad="1"/>
  <pivotCaches>
    <pivotCache cacheId="17" r:id="rId5"/>
    <pivotCache cacheId="12" r:id="rId6"/>
  </pivotCaches>
</workbook>
</file>

<file path=xl/sharedStrings.xml><?xml version="1.0" encoding="utf-8"?>
<sst xmlns="http://schemas.openxmlformats.org/spreadsheetml/2006/main" count="315" uniqueCount="104">
  <si>
    <t>Default Storage Ring Refill Time</t>
  </si>
  <si>
    <t xml:space="preserve">     </t>
  </si>
  <si>
    <t>Refill Timing in Days</t>
  </si>
  <si>
    <t>Fill #</t>
  </si>
  <si>
    <t>Start</t>
  </si>
  <si>
    <t>End</t>
  </si>
  <si>
    <t>Length</t>
  </si>
  <si>
    <t>Loss 
Reason</t>
  </si>
  <si>
    <t>DIN #</t>
  </si>
  <si>
    <t>Audit</t>
  </si>
  <si>
    <t>User 
Length</t>
  </si>
  <si>
    <t>System
Length</t>
  </si>
  <si>
    <t>Cause</t>
  </si>
  <si>
    <t>System</t>
  </si>
  <si>
    <t>Group</t>
  </si>
  <si>
    <t>Type</t>
  </si>
  <si>
    <t>Description</t>
  </si>
  <si>
    <t>Store Lost</t>
  </si>
  <si>
    <t>Intention. Dump</t>
  </si>
  <si>
    <t>Inhibits Beam</t>
  </si>
  <si>
    <t>TOTAL</t>
  </si>
  <si>
    <t>Scheduled</t>
  </si>
  <si>
    <t>PS</t>
  </si>
  <si>
    <t>RF</t>
  </si>
  <si>
    <t>MOM</t>
  </si>
  <si>
    <t>Number of Lost Fills</t>
  </si>
  <si>
    <t>Downtime</t>
  </si>
  <si>
    <t>Number of Intentional Dumps</t>
  </si>
  <si>
    <t>User</t>
  </si>
  <si>
    <t>Number of Fills</t>
  </si>
  <si>
    <t>Inhibits</t>
  </si>
  <si>
    <t>Total User Beam</t>
  </si>
  <si>
    <t>User Beam days</t>
  </si>
  <si>
    <t>Total User Downtime</t>
  </si>
  <si>
    <t>&lt;-- This downtime includes Gaps Open</t>
  </si>
  <si>
    <t>Total Schedule Run Length</t>
  </si>
  <si>
    <t>Mean Time Between Faults</t>
  </si>
  <si>
    <t>Faults/Day of Delivered Beam</t>
  </si>
  <si>
    <t>X-ray Availability</t>
  </si>
  <si>
    <t>Data</t>
  </si>
  <si>
    <t>Sum - Inhibits Beam</t>
  </si>
  <si>
    <t>Sum - Store Lost</t>
  </si>
  <si>
    <t>Total Sum - Inhibits Beam</t>
  </si>
  <si>
    <t>Total Sum - Store Lost</t>
  </si>
  <si>
    <t>Diag</t>
  </si>
  <si>
    <t>Controls</t>
  </si>
  <si>
    <t>Accelerator Intlks</t>
  </si>
  <si>
    <t>Beamline Intlks</t>
  </si>
  <si>
    <t>Radiation Intlks</t>
  </si>
  <si>
    <t>Water/ME</t>
  </si>
  <si>
    <t>Operations</t>
  </si>
  <si>
    <t>Physics</t>
  </si>
  <si>
    <t>ID-FE</t>
  </si>
  <si>
    <t>Electrical-APS</t>
  </si>
  <si>
    <t>Electrical-ANL</t>
  </si>
  <si>
    <t>Cooling-ANL</t>
  </si>
  <si>
    <t>Other</t>
  </si>
  <si>
    <t>Network</t>
  </si>
  <si>
    <t>Unidentified</t>
  </si>
  <si>
    <t>Grand Total</t>
  </si>
  <si>
    <t>Total Hours</t>
  </si>
  <si>
    <t>Budget</t>
  </si>
  <si>
    <t>Hours for Run</t>
  </si>
  <si>
    <t xml:space="preserve">Faults </t>
  </si>
  <si>
    <t>Filter</t>
  </si>
  <si>
    <t>AOP</t>
  </si>
  <si>
    <t>Inhibits Beam to User</t>
  </si>
  <si>
    <t>Int Dump: End of Period</t>
  </si>
  <si>
    <t>Sum of System 
Length</t>
  </si>
  <si>
    <t>VAC</t>
  </si>
  <si>
    <t>RF-4 Anode OI [RF]</t>
  </si>
  <si>
    <t>SI</t>
  </si>
  <si>
    <t>RF-4 glitch [RF]</t>
  </si>
  <si>
    <t>14ID FEEPS trip [SI]</t>
  </si>
  <si>
    <t>RF-4 crowbar [RF]</t>
  </si>
  <si>
    <t>S29ID BPLD trip [DIA]</t>
  </si>
  <si>
    <t>14ID FEEPS/PSS trip</t>
  </si>
  <si>
    <t>Downtime for Run 2022-1</t>
  </si>
  <si>
    <t>RF-3 power monitor [RF]</t>
  </si>
  <si>
    <t>S38 BPM error [DIA]</t>
  </si>
  <si>
    <t>DIA</t>
  </si>
  <si>
    <t>Kicker script error [AOP]</t>
  </si>
  <si>
    <t>S22/23 Raw PS failure [PS]</t>
  </si>
  <si>
    <t>S27ID BPLD trip [DIA]</t>
  </si>
  <si>
    <t>24ID FEEPS/PSS trip</t>
  </si>
  <si>
    <t>S8B:V3 ground fault</t>
  </si>
  <si>
    <t>24ID PSS trip S8 grnd flt</t>
  </si>
  <si>
    <t>352Mhz clock error [Aop]</t>
  </si>
  <si>
    <t>IOCS!7FB issue [CTL]</t>
  </si>
  <si>
    <t>CTL</t>
  </si>
  <si>
    <t>AOP data collection [AOP]</t>
  </si>
  <si>
    <t>S38/39 raw trip [PS]</t>
  </si>
  <si>
    <t>S16ID BPLD [DIA]</t>
  </si>
  <si>
    <t>Under Investigation [UNK]</t>
  </si>
  <si>
    <t>UNK</t>
  </si>
  <si>
    <t>S23A:H1 glitch [PS]</t>
  </si>
  <si>
    <t>S23A:H1 trip  [PS]</t>
  </si>
  <si>
    <t>RF-4 power monitor [RF]</t>
  </si>
  <si>
    <t>Zone E BSS trip [SI]</t>
  </si>
  <si>
    <t>RF-4 OI trip [RF]</t>
  </si>
  <si>
    <t xml:space="preserve">METASYS error [FAC] </t>
  </si>
  <si>
    <t>FAC</t>
  </si>
  <si>
    <t>S6A:V3 trip [PS]</t>
  </si>
  <si>
    <t>Run 2022-1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</si>
</sst>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\ hh:mm"/>
    <numFmt numFmtId="165" formatCode="0.00;[Red]0.00;[Blue]&quot;ZERO!!!&quot;"/>
    <numFmt numFmtId="166" formatCode="mm/dd/yy\ hh:mm\ "/>
    <numFmt numFmtId="167" formatCode="0.0"/>
    <numFmt numFmtId="168" formatCode="&quot; $&quot;#,##0.00\ ;&quot; $(&quot;#,##0.00\);&quot; $-&quot;#\ ;@\ "/>
    <numFmt numFmtId="169" formatCode="0.0%"/>
    <numFmt numFmtId="170" formatCode="0.000000\ ;[Red]\(0.000000\)"/>
    <numFmt numFmtId="171" formatCode="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m/d/yy\ h:mm;@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b/>
      <sz val="13.9"/>
      <color indexed="8"/>
      <name val="Arial"/>
      <family val="0"/>
    </font>
    <font>
      <sz val="23"/>
      <color indexed="8"/>
      <name val="Arial"/>
      <family val="0"/>
    </font>
    <font>
      <b/>
      <sz val="18.8"/>
      <color indexed="8"/>
      <name val="Arial"/>
      <family val="0"/>
    </font>
    <font>
      <b/>
      <sz val="17.1"/>
      <color indexed="8"/>
      <name val="Arial"/>
      <family val="0"/>
    </font>
    <font>
      <sz val="12.25"/>
      <color indexed="8"/>
      <name val="Arial"/>
      <family val="0"/>
    </font>
    <font>
      <sz val="12"/>
      <color indexed="8"/>
      <name val="Arial"/>
      <family val="0"/>
    </font>
    <font>
      <sz val="39.9"/>
      <color indexed="8"/>
      <name val="Arial"/>
      <family val="0"/>
    </font>
    <font>
      <b/>
      <sz val="39.9"/>
      <color indexed="8"/>
      <name val="Arial"/>
      <family val="0"/>
    </font>
    <font>
      <b/>
      <sz val="44.6"/>
      <color indexed="8"/>
      <name val="Arial"/>
      <family val="0"/>
    </font>
    <font>
      <sz val="8.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FF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999999"/>
      </left>
      <right>
        <color indexed="63"/>
      </right>
      <top style="thin">
        <color rgb="FF999999"/>
      </top>
      <bottom>
        <color indexed="63"/>
      </bottom>
    </border>
    <border>
      <left style="thin"/>
      <right>
        <color indexed="63"/>
      </right>
      <top style="thin">
        <color rgb="FF999999"/>
      </top>
      <bottom>
        <color indexed="63"/>
      </bottom>
    </border>
    <border>
      <left style="thin"/>
      <right style="thin">
        <color rgb="FF999999"/>
      </right>
      <top style="thin">
        <color rgb="FF999999"/>
      </top>
      <bottom>
        <color indexed="63"/>
      </bottom>
    </border>
    <border>
      <left>
        <color indexed="63"/>
      </left>
      <right>
        <color indexed="63"/>
      </right>
      <top style="thin">
        <color rgb="FF999999"/>
      </top>
      <bottom>
        <color indexed="63"/>
      </bottom>
    </border>
    <border>
      <left style="thin">
        <color rgb="FF999999"/>
      </left>
      <right style="thin">
        <color rgb="FF999999"/>
      </right>
      <top style="thin">
        <color rgb="FF999999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>
        <color indexed="63"/>
      </bottom>
    </border>
    <border>
      <left style="thin">
        <color rgb="FF999999"/>
      </left>
      <right style="thin">
        <color rgb="FF999999"/>
      </right>
      <top>
        <color indexed="63"/>
      </top>
      <bottom>
        <color indexed="63"/>
      </bottom>
    </border>
    <border>
      <left style="thin">
        <color rgb="FF999999"/>
      </left>
      <right>
        <color indexed="63"/>
      </right>
      <top>
        <color indexed="63"/>
      </top>
      <bottom style="thin">
        <color rgb="FF999999"/>
      </bottom>
    </border>
    <border>
      <left>
        <color indexed="63"/>
      </left>
      <right>
        <color indexed="63"/>
      </right>
      <top>
        <color indexed="63"/>
      </top>
      <bottom style="thin">
        <color rgb="FF999999"/>
      </bottom>
    </border>
    <border>
      <left style="thin">
        <color rgb="FF999999"/>
      </left>
      <right style="thin">
        <color rgb="FF999999"/>
      </right>
      <top>
        <color indexed="63"/>
      </top>
      <bottom style="thin">
        <color rgb="FF999999"/>
      </bottom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8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NumberFormat="1" applyFont="1" applyAlignment="1">
      <alignment horizontal="right"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right"/>
    </xf>
    <xf numFmtId="0" fontId="2" fillId="0" borderId="0" xfId="0" applyFont="1" applyAlignment="1">
      <alignment/>
    </xf>
    <xf numFmtId="0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Alignment="1">
      <alignment horizontal="right"/>
    </xf>
    <xf numFmtId="165" fontId="1" fillId="0" borderId="0" xfId="0" applyNumberFormat="1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 horizontal="left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0" xfId="0" applyFont="1" applyFill="1" applyBorder="1" applyAlignment="1">
      <alignment textRotation="90"/>
    </xf>
    <xf numFmtId="0" fontId="1" fillId="0" borderId="11" xfId="0" applyFont="1" applyFill="1" applyBorder="1" applyAlignment="1">
      <alignment horizontal="center" textRotation="90"/>
    </xf>
    <xf numFmtId="164" fontId="1" fillId="0" borderId="0" xfId="0" applyNumberFormat="1" applyFont="1" applyFill="1" applyAlignment="1">
      <alignment horizontal="right"/>
    </xf>
    <xf numFmtId="1" fontId="0" fillId="0" borderId="0" xfId="0" applyNumberFormat="1" applyFont="1" applyFill="1" applyAlignment="1">
      <alignment horizontal="right"/>
    </xf>
    <xf numFmtId="165" fontId="1" fillId="0" borderId="0" xfId="0" applyNumberFormat="1" applyFont="1" applyFill="1" applyAlignment="1">
      <alignment horizontal="right"/>
    </xf>
    <xf numFmtId="165" fontId="0" fillId="0" borderId="0" xfId="0" applyNumberFormat="1" applyFont="1" applyFill="1" applyAlignment="1">
      <alignment horizontal="right"/>
    </xf>
    <xf numFmtId="0" fontId="0" fillId="0" borderId="0" xfId="0" applyFont="1" applyFill="1" applyAlignment="1" applyProtection="1">
      <alignment horizontal="left"/>
      <protection/>
    </xf>
    <xf numFmtId="165" fontId="0" fillId="0" borderId="0" xfId="0" applyNumberFormat="1" applyFont="1" applyFill="1" applyAlignment="1">
      <alignment/>
    </xf>
    <xf numFmtId="1" fontId="0" fillId="0" borderId="12" xfId="0" applyNumberFormat="1" applyFont="1" applyFill="1" applyBorder="1" applyAlignment="1">
      <alignment horizontal="right"/>
    </xf>
    <xf numFmtId="2" fontId="0" fillId="0" borderId="12" xfId="0" applyNumberFormat="1" applyFont="1" applyFill="1" applyBorder="1" applyAlignment="1">
      <alignment horizontal="right"/>
    </xf>
    <xf numFmtId="22" fontId="0" fillId="0" borderId="0" xfId="0" applyNumberFormat="1" applyFont="1" applyFill="1" applyAlignment="1">
      <alignment/>
    </xf>
    <xf numFmtId="167" fontId="2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1" fontId="0" fillId="0" borderId="0" xfId="0" applyNumberFormat="1" applyFill="1" applyAlignment="1">
      <alignment/>
    </xf>
    <xf numFmtId="2" fontId="0" fillId="0" borderId="0" xfId="0" applyNumberFormat="1" applyFont="1" applyFill="1" applyBorder="1" applyAlignment="1">
      <alignment horizontal="right"/>
    </xf>
    <xf numFmtId="17" fontId="0" fillId="0" borderId="0" xfId="0" applyNumberFormat="1" applyFill="1" applyAlignment="1">
      <alignment/>
    </xf>
    <xf numFmtId="1" fontId="0" fillId="0" borderId="0" xfId="0" applyNumberFormat="1" applyFill="1" applyAlignment="1">
      <alignment wrapText="1"/>
    </xf>
    <xf numFmtId="2" fontId="0" fillId="0" borderId="0" xfId="44" applyNumberFormat="1" applyFont="1" applyFill="1" applyBorder="1" applyAlignment="1" applyProtection="1">
      <alignment horizontal="right"/>
      <protection/>
    </xf>
    <xf numFmtId="165" fontId="0" fillId="0" borderId="0" xfId="0" applyNumberFormat="1" applyFont="1" applyAlignment="1">
      <alignment/>
    </xf>
    <xf numFmtId="17" fontId="2" fillId="0" borderId="0" xfId="0" applyNumberFormat="1" applyFont="1" applyFill="1" applyAlignment="1">
      <alignment/>
    </xf>
    <xf numFmtId="17" fontId="0" fillId="0" borderId="0" xfId="0" applyNumberFormat="1" applyFont="1" applyFill="1" applyAlignment="1">
      <alignment horizontal="center"/>
    </xf>
    <xf numFmtId="17" fontId="0" fillId="0" borderId="0" xfId="0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1" fillId="0" borderId="15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0" fontId="1" fillId="0" borderId="0" xfId="0" applyFont="1" applyBorder="1" applyAlignment="1">
      <alignment horizontal="right"/>
    </xf>
    <xf numFmtId="2" fontId="1" fillId="0" borderId="0" xfId="0" applyNumberFormat="1" applyFont="1" applyAlignment="1" applyProtection="1">
      <alignment/>
      <protection locked="0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0" xfId="0" applyNumberFormat="1" applyAlignment="1">
      <alignment/>
    </xf>
    <xf numFmtId="10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>
      <alignment horizontal="right"/>
    </xf>
    <xf numFmtId="2" fontId="1" fillId="0" borderId="0" xfId="0" applyNumberFormat="1" applyFont="1" applyBorder="1" applyAlignment="1" applyProtection="1">
      <alignment horizontal="right"/>
      <protection locked="0"/>
    </xf>
    <xf numFmtId="2" fontId="1" fillId="0" borderId="0" xfId="0" applyNumberFormat="1" applyFont="1" applyBorder="1" applyAlignment="1">
      <alignment horizontal="right"/>
    </xf>
    <xf numFmtId="0" fontId="0" fillId="0" borderId="0" xfId="0" applyNumberFormat="1" applyAlignment="1">
      <alignment/>
    </xf>
    <xf numFmtId="0" fontId="1" fillId="0" borderId="0" xfId="0" applyFont="1" applyAlignment="1">
      <alignment/>
    </xf>
    <xf numFmtId="167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169" fontId="0" fillId="0" borderId="0" xfId="65" applyNumberFormat="1" applyFont="1" applyFill="1" applyBorder="1" applyAlignment="1" applyProtection="1">
      <alignment vertical="top" wrapText="1"/>
      <protection locked="0"/>
    </xf>
    <xf numFmtId="2" fontId="0" fillId="0" borderId="0" xfId="65" applyNumberFormat="1" applyFont="1" applyFill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4" fontId="4" fillId="0" borderId="0" xfId="0" applyNumberFormat="1" applyFont="1" applyFill="1" applyAlignment="1">
      <alignment horizontal="right"/>
    </xf>
    <xf numFmtId="0" fontId="0" fillId="0" borderId="17" xfId="0" applyBorder="1" applyAlignment="1">
      <alignment/>
    </xf>
    <xf numFmtId="0" fontId="0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7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NumberForma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3" xfId="0" applyNumberFormat="1" applyBorder="1" applyAlignment="1">
      <alignment/>
    </xf>
    <xf numFmtId="0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25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1" fillId="0" borderId="21" xfId="0" applyNumberFormat="1" applyFont="1" applyFill="1" applyBorder="1" applyAlignment="1">
      <alignment horizontal="center" textRotation="90"/>
    </xf>
    <xf numFmtId="164" fontId="1" fillId="0" borderId="21" xfId="0" applyNumberFormat="1" applyFont="1" applyFill="1" applyBorder="1" applyAlignment="1">
      <alignment horizontal="center"/>
    </xf>
    <xf numFmtId="2" fontId="1" fillId="0" borderId="21" xfId="0" applyNumberFormat="1" applyFont="1" applyFill="1" applyBorder="1" applyAlignment="1">
      <alignment horizontal="center" textRotation="90"/>
    </xf>
    <xf numFmtId="0" fontId="1" fillId="0" borderId="21" xfId="0" applyFont="1" applyFill="1" applyBorder="1" applyAlignment="1">
      <alignment horizontal="center" wrapText="1"/>
    </xf>
    <xf numFmtId="0" fontId="1" fillId="0" borderId="21" xfId="0" applyFont="1" applyFill="1" applyBorder="1" applyAlignment="1">
      <alignment horizontal="center" textRotation="90"/>
    </xf>
    <xf numFmtId="2" fontId="1" fillId="0" borderId="21" xfId="0" applyNumberFormat="1" applyFont="1" applyFill="1" applyBorder="1" applyAlignment="1">
      <alignment horizontal="center" textRotation="90" wrapText="1"/>
    </xf>
    <xf numFmtId="165" fontId="1" fillId="0" borderId="21" xfId="0" applyNumberFormat="1" applyFont="1" applyFill="1" applyBorder="1" applyAlignment="1">
      <alignment horizontal="center" textRotation="90" wrapText="1"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 locked="0"/>
    </xf>
    <xf numFmtId="0" fontId="0" fillId="33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 horizontal="left"/>
    </xf>
    <xf numFmtId="2" fontId="0" fillId="34" borderId="0" xfId="0" applyNumberFormat="1" applyFont="1" applyFill="1" applyBorder="1" applyAlignment="1">
      <alignment horizontal="right"/>
    </xf>
    <xf numFmtId="164" fontId="0" fillId="33" borderId="0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 horizontal="center"/>
    </xf>
    <xf numFmtId="2" fontId="1" fillId="33" borderId="0" xfId="0" applyNumberFormat="1" applyFont="1" applyFill="1" applyBorder="1" applyAlignment="1">
      <alignment horizontal="right"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/>
      <protection locked="0"/>
    </xf>
    <xf numFmtId="0" fontId="0" fillId="33" borderId="0" xfId="0" applyNumberFormat="1" applyFont="1" applyFill="1" applyBorder="1" applyAlignment="1" applyProtection="1">
      <alignment horizontal="left"/>
      <protection/>
    </xf>
    <xf numFmtId="0" fontId="0" fillId="35" borderId="0" xfId="0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0" xfId="0" applyNumberFormat="1" applyFont="1" applyFill="1" applyBorder="1" applyAlignment="1">
      <alignment/>
    </xf>
    <xf numFmtId="10" fontId="0" fillId="0" borderId="0" xfId="65" applyNumberFormat="1" applyFont="1" applyFill="1" applyBorder="1" applyAlignment="1" applyProtection="1">
      <alignment horizontal="right"/>
      <protection/>
    </xf>
    <xf numFmtId="2" fontId="1" fillId="0" borderId="0" xfId="0" applyNumberFormat="1" applyFont="1" applyAlignment="1" applyProtection="1">
      <alignment/>
      <protection locked="0"/>
    </xf>
    <xf numFmtId="0" fontId="0" fillId="0" borderId="26" xfId="0" applyNumberFormat="1" applyBorder="1" applyAlignment="1">
      <alignment/>
    </xf>
    <xf numFmtId="0" fontId="0" fillId="37" borderId="27" xfId="0" applyNumberFormat="1" applyFont="1" applyFill="1" applyBorder="1" applyAlignment="1">
      <alignment horizontal="right"/>
    </xf>
    <xf numFmtId="164" fontId="0" fillId="37" borderId="27" xfId="0" applyNumberFormat="1" applyFont="1" applyFill="1" applyBorder="1" applyAlignment="1">
      <alignment/>
    </xf>
    <xf numFmtId="0" fontId="0" fillId="37" borderId="27" xfId="0" applyNumberFormat="1" applyFont="1" applyFill="1" applyBorder="1" applyAlignment="1">
      <alignment horizontal="center"/>
    </xf>
    <xf numFmtId="164" fontId="0" fillId="37" borderId="27" xfId="0" applyNumberFormat="1" applyFont="1" applyFill="1" applyBorder="1" applyAlignment="1">
      <alignment horizontal="center"/>
    </xf>
    <xf numFmtId="0" fontId="0" fillId="37" borderId="27" xfId="0" applyNumberFormat="1" applyFont="1" applyFill="1" applyBorder="1" applyAlignment="1" applyProtection="1">
      <alignment/>
      <protection/>
    </xf>
    <xf numFmtId="0" fontId="0" fillId="37" borderId="27" xfId="0" applyNumberFormat="1" applyFont="1" applyFill="1" applyBorder="1" applyAlignment="1" applyProtection="1">
      <alignment/>
      <protection locked="0"/>
    </xf>
    <xf numFmtId="0" fontId="0" fillId="37" borderId="27" xfId="0" applyNumberFormat="1" applyFont="1" applyFill="1" applyBorder="1" applyAlignment="1" applyProtection="1">
      <alignment horizontal="left"/>
      <protection/>
    </xf>
    <xf numFmtId="0" fontId="0" fillId="38" borderId="10" xfId="0" applyFill="1" applyBorder="1" applyAlignment="1">
      <alignment/>
    </xf>
    <xf numFmtId="0" fontId="0" fillId="38" borderId="11" xfId="0" applyFill="1" applyBorder="1" applyAlignment="1">
      <alignment/>
    </xf>
    <xf numFmtId="0" fontId="0" fillId="39" borderId="0" xfId="0" applyFill="1" applyBorder="1" applyAlignment="1">
      <alignment/>
    </xf>
    <xf numFmtId="0" fontId="0" fillId="39" borderId="0" xfId="0" applyNumberFormat="1" applyFont="1" applyFill="1" applyBorder="1" applyAlignment="1">
      <alignment/>
    </xf>
    <xf numFmtId="0" fontId="0" fillId="33" borderId="27" xfId="0" applyNumberFormat="1" applyFont="1" applyFill="1" applyBorder="1" applyAlignment="1">
      <alignment horizontal="right"/>
    </xf>
    <xf numFmtId="164" fontId="0" fillId="33" borderId="27" xfId="0" applyNumberFormat="1" applyFont="1" applyFill="1" applyBorder="1" applyAlignment="1">
      <alignment/>
    </xf>
    <xf numFmtId="2" fontId="0" fillId="35" borderId="27" xfId="0" applyNumberFormat="1" applyFont="1" applyFill="1" applyBorder="1" applyAlignment="1">
      <alignment horizontal="right"/>
    </xf>
    <xf numFmtId="0" fontId="0" fillId="33" borderId="27" xfId="0" applyNumberFormat="1" applyFont="1" applyFill="1" applyBorder="1" applyAlignment="1">
      <alignment horizontal="center"/>
    </xf>
    <xf numFmtId="164" fontId="0" fillId="33" borderId="27" xfId="0" applyNumberFormat="1" applyFont="1" applyFill="1" applyBorder="1" applyAlignment="1">
      <alignment horizontal="center"/>
    </xf>
    <xf numFmtId="0" fontId="0" fillId="33" borderId="27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/>
      <protection locked="0"/>
    </xf>
    <xf numFmtId="0" fontId="0" fillId="33" borderId="27" xfId="0" applyNumberFormat="1" applyFont="1" applyFill="1" applyBorder="1" applyAlignment="1" applyProtection="1">
      <alignment horizontal="left"/>
      <protection/>
    </xf>
    <xf numFmtId="0" fontId="0" fillId="40" borderId="24" xfId="0" applyNumberFormat="1" applyFont="1" applyFill="1" applyBorder="1" applyAlignment="1">
      <alignment horizontal="right"/>
    </xf>
    <xf numFmtId="164" fontId="0" fillId="40" borderId="28" xfId="0" applyNumberFormat="1" applyFont="1" applyFill="1" applyBorder="1" applyAlignment="1">
      <alignment horizontal="left"/>
    </xf>
    <xf numFmtId="2" fontId="0" fillId="41" borderId="24" xfId="0" applyNumberFormat="1" applyFont="1" applyFill="1" applyBorder="1" applyAlignment="1">
      <alignment horizontal="right"/>
    </xf>
    <xf numFmtId="164" fontId="0" fillId="40" borderId="24" xfId="0" applyNumberFormat="1" applyFont="1" applyFill="1" applyBorder="1" applyAlignment="1">
      <alignment/>
    </xf>
    <xf numFmtId="0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center"/>
    </xf>
    <xf numFmtId="164" fontId="0" fillId="40" borderId="24" xfId="0" applyNumberFormat="1" applyFont="1" applyFill="1" applyBorder="1" applyAlignment="1">
      <alignment horizontal="left"/>
    </xf>
    <xf numFmtId="2" fontId="1" fillId="40" borderId="24" xfId="0" applyNumberFormat="1" applyFont="1" applyFill="1" applyBorder="1" applyAlignment="1">
      <alignment horizontal="right"/>
    </xf>
    <xf numFmtId="0" fontId="0" fillId="40" borderId="24" xfId="0" applyNumberFormat="1" applyFont="1" applyFill="1" applyBorder="1" applyAlignment="1" applyProtection="1">
      <alignment/>
      <protection/>
    </xf>
    <xf numFmtId="0" fontId="0" fillId="40" borderId="24" xfId="0" applyNumberFormat="1" applyFont="1" applyFill="1" applyBorder="1" applyAlignment="1" applyProtection="1">
      <alignment/>
      <protection locked="0"/>
    </xf>
    <xf numFmtId="0" fontId="0" fillId="40" borderId="24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>
      <alignment/>
    </xf>
    <xf numFmtId="2" fontId="0" fillId="42" borderId="27" xfId="0" applyNumberFormat="1" applyFont="1" applyFill="1" applyBorder="1" applyAlignment="1">
      <alignment horizontal="right"/>
    </xf>
    <xf numFmtId="169" fontId="1" fillId="0" borderId="0" xfId="0" applyNumberFormat="1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2" fontId="0" fillId="0" borderId="29" xfId="0" applyNumberFormat="1" applyBorder="1" applyAlignment="1">
      <alignment wrapText="1"/>
    </xf>
    <xf numFmtId="22" fontId="0" fillId="36" borderId="0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0" xfId="0" applyNumberFormat="1" applyBorder="1" applyAlignment="1">
      <alignment/>
    </xf>
    <xf numFmtId="0" fontId="0" fillId="0" borderId="33" xfId="0" applyNumberFormat="1" applyBorder="1" applyAlignment="1">
      <alignment/>
    </xf>
    <xf numFmtId="0" fontId="0" fillId="0" borderId="34" xfId="0" applyNumberFormat="1" applyBorder="1" applyAlignment="1">
      <alignment/>
    </xf>
    <xf numFmtId="0" fontId="0" fillId="0" borderId="35" xfId="0" applyBorder="1" applyAlignment="1">
      <alignment/>
    </xf>
    <xf numFmtId="0" fontId="0" fillId="0" borderId="35" xfId="0" applyNumberFormat="1" applyBorder="1" applyAlignment="1">
      <alignment/>
    </xf>
    <xf numFmtId="0" fontId="0" fillId="0" borderId="36" xfId="0" applyNumberFormat="1" applyBorder="1" applyAlignment="1">
      <alignment/>
    </xf>
    <xf numFmtId="0" fontId="0" fillId="0" borderId="37" xfId="0" applyBorder="1" applyAlignment="1">
      <alignment/>
    </xf>
    <xf numFmtId="0" fontId="0" fillId="0" borderId="38" xfId="0" applyNumberFormat="1" applyBorder="1" applyAlignment="1">
      <alignment/>
    </xf>
    <xf numFmtId="2" fontId="0" fillId="0" borderId="37" xfId="0" applyNumberFormat="1" applyBorder="1" applyAlignment="1">
      <alignment/>
    </xf>
    <xf numFmtId="2" fontId="0" fillId="0" borderId="38" xfId="0" applyNumberFormat="1" applyBorder="1" applyAlignment="1">
      <alignment/>
    </xf>
    <xf numFmtId="2" fontId="0" fillId="0" borderId="39" xfId="0" applyNumberFormat="1" applyBorder="1" applyAlignment="1">
      <alignment/>
    </xf>
    <xf numFmtId="0" fontId="1" fillId="0" borderId="16" xfId="0" applyFont="1" applyBorder="1" applyAlignment="1" applyProtection="1">
      <alignment/>
      <protection locked="0"/>
    </xf>
    <xf numFmtId="164" fontId="1" fillId="0" borderId="0" xfId="0" applyNumberFormat="1" applyFont="1" applyFill="1" applyAlignment="1">
      <alignment horizontal="right"/>
    </xf>
    <xf numFmtId="164" fontId="0" fillId="43" borderId="27" xfId="0" applyNumberFormat="1" applyFont="1" applyFill="1" applyBorder="1" applyAlignment="1">
      <alignment/>
    </xf>
    <xf numFmtId="2" fontId="0" fillId="44" borderId="27" xfId="0" applyNumberFormat="1" applyFont="1" applyFill="1" applyBorder="1" applyAlignment="1">
      <alignment horizontal="right"/>
    </xf>
    <xf numFmtId="0" fontId="0" fillId="43" borderId="27" xfId="0" applyNumberFormat="1" applyFont="1" applyFill="1" applyBorder="1" applyAlignment="1" applyProtection="1">
      <alignment/>
      <protection/>
    </xf>
    <xf numFmtId="0" fontId="0" fillId="43" borderId="27" xfId="0" applyNumberFormat="1" applyFont="1" applyFill="1" applyBorder="1" applyAlignment="1" applyProtection="1">
      <alignment/>
      <protection locked="0"/>
    </xf>
    <xf numFmtId="0" fontId="0" fillId="43" borderId="27" xfId="0" applyNumberFormat="1" applyFont="1" applyFill="1" applyBorder="1" applyAlignment="1" applyProtection="1">
      <alignment horizontal="left"/>
      <protection/>
    </xf>
    <xf numFmtId="22" fontId="0" fillId="36" borderId="27" xfId="0" applyNumberFormat="1" applyFont="1" applyFill="1" applyBorder="1" applyAlignment="1">
      <alignment/>
    </xf>
    <xf numFmtId="2" fontId="0" fillId="35" borderId="40" xfId="0" applyNumberFormat="1" applyFont="1" applyFill="1" applyBorder="1" applyAlignment="1">
      <alignment horizontal="right"/>
    </xf>
    <xf numFmtId="164" fontId="0" fillId="33" borderId="40" xfId="0" applyNumberFormat="1" applyFont="1" applyFill="1" applyBorder="1" applyAlignment="1">
      <alignment/>
    </xf>
    <xf numFmtId="0" fontId="0" fillId="33" borderId="40" xfId="0" applyNumberFormat="1" applyFont="1" applyFill="1" applyBorder="1" applyAlignment="1">
      <alignment horizontal="center"/>
    </xf>
    <xf numFmtId="164" fontId="0" fillId="33" borderId="40" xfId="0" applyNumberFormat="1" applyFont="1" applyFill="1" applyBorder="1" applyAlignment="1">
      <alignment horizontal="center"/>
    </xf>
    <xf numFmtId="22" fontId="0" fillId="45" borderId="27" xfId="0" applyNumberFormat="1" applyFont="1" applyFill="1" applyBorder="1" applyAlignment="1">
      <alignment/>
    </xf>
    <xf numFmtId="22" fontId="0" fillId="46" borderId="27" xfId="0" applyNumberFormat="1" applyFont="1" applyFill="1" applyBorder="1" applyAlignment="1">
      <alignment/>
    </xf>
    <xf numFmtId="2" fontId="0" fillId="47" borderId="27" xfId="0" applyNumberFormat="1" applyFont="1" applyFill="1" applyBorder="1" applyAlignment="1">
      <alignment horizontal="right"/>
    </xf>
    <xf numFmtId="0" fontId="0" fillId="48" borderId="27" xfId="0" applyNumberFormat="1" applyFont="1" applyFill="1" applyBorder="1" applyAlignment="1" applyProtection="1">
      <alignment/>
      <protection/>
    </xf>
    <xf numFmtId="0" fontId="0" fillId="48" borderId="27" xfId="0" applyNumberFormat="1" applyFont="1" applyFill="1" applyBorder="1" applyAlignment="1" applyProtection="1">
      <alignment/>
      <protection locked="0"/>
    </xf>
    <xf numFmtId="0" fontId="0" fillId="48" borderId="27" xfId="0" applyNumberFormat="1" applyFont="1" applyFill="1" applyBorder="1" applyAlignment="1" applyProtection="1">
      <alignment horizontal="left"/>
      <protection/>
    </xf>
    <xf numFmtId="164" fontId="0" fillId="48" borderId="27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aPilot Category" xfId="46"/>
    <cellStyle name="DataPilot Corner" xfId="47"/>
    <cellStyle name="DataPilot Field" xfId="48"/>
    <cellStyle name="DataPilot Result" xfId="49"/>
    <cellStyle name="DataPilot Title" xfId="50"/>
    <cellStyle name="DataPilot Value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numFmt numFmtId="2" formatCode="0.0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6B6B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2.xml" /><Relationship Id="rId6" Type="http://schemas.openxmlformats.org/officeDocument/2006/relationships/pivotCacheDefinition" Target="pivotCache/pivotCacheDefinition1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1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2022-1 Downtime by System 
February 1, 2022-April 28, 2022
 Scheduled User Time = 1751 hours     
User downtime = 56.2 hours</a:t>
            </a:r>
          </a:p>
        </c:rich>
      </c:tx>
      <c:layout>
        <c:manualLayout>
          <c:xMode val="factor"/>
          <c:yMode val="factor"/>
          <c:x val="-0.00525"/>
          <c:y val="-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08825"/>
          <c:w val="0.87"/>
          <c:h val="0.9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Stats!$A$14</c:f>
              <c:strCache>
                <c:ptCount val="1"/>
                <c:pt idx="0">
                  <c:v>Run 2022-1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Stats!$B$14:$S$14</c:f>
              <c:numCache>
                <c:ptCount val="18"/>
                <c:pt idx="0">
                  <c:v>0.002198743575286101</c:v>
                </c:pt>
                <c:pt idx="1">
                  <c:v>0.00272225395022125</c:v>
                </c:pt>
                <c:pt idx="2">
                  <c:v>0.00810013325726172</c:v>
                </c:pt>
                <c:pt idx="4">
                  <c:v>0</c:v>
                </c:pt>
                <c:pt idx="5">
                  <c:v>0.008747382448016289</c:v>
                </c:pt>
                <c:pt idx="6">
                  <c:v>0</c:v>
                </c:pt>
                <c:pt idx="7">
                  <c:v>0.004130972777462715</c:v>
                </c:pt>
                <c:pt idx="8">
                  <c:v>0</c:v>
                </c:pt>
                <c:pt idx="9">
                  <c:v>0</c:v>
                </c:pt>
                <c:pt idx="10">
                  <c:v>0.0018941557205317788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0.0005139920046485999</c:v>
                </c:pt>
              </c:numCache>
            </c:numRef>
          </c:val>
        </c:ser>
        <c:ser>
          <c:idx val="1"/>
          <c:order val="1"/>
          <c:tx>
            <c:strRef>
              <c:f>Stats!$A$15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Stats!$B$13:$S$13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Water/ME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Stats!$B$15:$S$15</c:f>
              <c:numCache>
                <c:ptCount val="18"/>
                <c:pt idx="0">
                  <c:v>0.0054</c:v>
                </c:pt>
                <c:pt idx="1">
                  <c:v>0.0012000000000000001</c:v>
                </c:pt>
                <c:pt idx="2">
                  <c:v>0.0054</c:v>
                </c:pt>
                <c:pt idx="3">
                  <c:v>0.003</c:v>
                </c:pt>
                <c:pt idx="4">
                  <c:v>0.0028</c:v>
                </c:pt>
                <c:pt idx="5">
                  <c:v>0.0028</c:v>
                </c:pt>
                <c:pt idx="6">
                  <c:v>0.0028</c:v>
                </c:pt>
                <c:pt idx="7">
                  <c:v>0.0036000000000000003</c:v>
                </c:pt>
                <c:pt idx="8">
                  <c:v>0.0036000000000000003</c:v>
                </c:pt>
                <c:pt idx="9">
                  <c:v>0.0012000000000000001</c:v>
                </c:pt>
                <c:pt idx="10">
                  <c:v>0</c:v>
                </c:pt>
                <c:pt idx="11">
                  <c:v>0.0006000000000000001</c:v>
                </c:pt>
                <c:pt idx="12">
                  <c:v>0.0006000000000000001</c:v>
                </c:pt>
                <c:pt idx="13">
                  <c:v>0.0018000000000000002</c:v>
                </c:pt>
                <c:pt idx="14">
                  <c:v>0.0006000000000000001</c:v>
                </c:pt>
                <c:pt idx="15">
                  <c:v>0.0018000000000000002</c:v>
                </c:pt>
                <c:pt idx="16">
                  <c:v>0.0012000000000000001</c:v>
                </c:pt>
                <c:pt idx="17">
                  <c:v>0.0006000000000000001</c:v>
                </c:pt>
              </c:numCache>
            </c:numRef>
          </c:val>
        </c:ser>
        <c:axId val="39195796"/>
        <c:axId val="17217845"/>
      </c:barChart>
      <c:catAx>
        <c:axId val="391957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139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217845"/>
        <c:crosses val="autoZero"/>
        <c:auto val="1"/>
        <c:lblOffset val="100"/>
        <c:tickLblSkip val="1"/>
        <c:noMultiLvlLbl val="0"/>
      </c:catAx>
      <c:valAx>
        <c:axId val="17217845"/>
        <c:scaling>
          <c:orientation val="minMax"/>
          <c:max val="0.01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8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Percentage of Scheduled User Time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8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%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3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195796"/>
        <c:crossesAt val="1"/>
        <c:crossBetween val="between"/>
        <c:dispUnits/>
        <c:majorUnit val="0.0025"/>
        <c:minorUnit val="0.0005"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1175"/>
          <c:y val="0.53475"/>
          <c:w val="0.20925"/>
          <c:h val="0.028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446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Run 2022-1 Faults Per Day By System</a:t>
            </a:r>
          </a:p>
        </c:rich>
      </c:tx>
      <c:layout>
        <c:manualLayout>
          <c:xMode val="factor"/>
          <c:yMode val="factor"/>
          <c:x val="-0.000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25"/>
          <c:y val="0.143"/>
          <c:w val="0.9375"/>
          <c:h val="0.82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Stats!$A$21</c:f>
              <c:strCache>
                <c:ptCount val="1"/>
                <c:pt idx="0">
                  <c:v>Run 2022-1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Stats!$B$21:$S$21</c:f>
              <c:numCache>
                <c:ptCount val="18"/>
                <c:pt idx="0">
                  <c:v>0.11328770356387814</c:v>
                </c:pt>
                <c:pt idx="1">
                  <c:v>0.08496577767290861</c:v>
                </c:pt>
                <c:pt idx="2">
                  <c:v>0.08496577767290861</c:v>
                </c:pt>
                <c:pt idx="3">
                  <c:v>0.014160962945484768</c:v>
                </c:pt>
                <c:pt idx="4">
                  <c:v>0</c:v>
                </c:pt>
                <c:pt idx="5">
                  <c:v>0.05664385178193907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0.042482888836454305</c:v>
                </c:pt>
                <c:pt idx="11">
                  <c:v>0</c:v>
                </c:pt>
                <c:pt idx="13">
                  <c:v>0</c:v>
                </c:pt>
                <c:pt idx="14">
                  <c:v>0.042482888836454305</c:v>
                </c:pt>
                <c:pt idx="15">
                  <c:v>0</c:v>
                </c:pt>
                <c:pt idx="16">
                  <c:v>0</c:v>
                </c:pt>
                <c:pt idx="17">
                  <c:v>0.028321925890969536</c:v>
                </c:pt>
              </c:numCache>
            </c:numRef>
          </c:val>
        </c:ser>
        <c:ser>
          <c:idx val="1"/>
          <c:order val="1"/>
          <c:tx>
            <c:strRef>
              <c:f>Stats!$A$22</c:f>
              <c:strCache>
                <c:ptCount val="1"/>
                <c:pt idx="0">
                  <c:v>Budget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Stats!$B$20:$S$20</c:f>
              <c:strCache>
                <c:ptCount val="18"/>
                <c:pt idx="0">
                  <c:v>RF</c:v>
                </c:pt>
                <c:pt idx="1">
                  <c:v>Diag</c:v>
                </c:pt>
                <c:pt idx="2">
                  <c:v>PS</c:v>
                </c:pt>
                <c:pt idx="3">
                  <c:v>Controls</c:v>
                </c:pt>
                <c:pt idx="4">
                  <c:v>Accelerator Intlks</c:v>
                </c:pt>
                <c:pt idx="5">
                  <c:v>Beamline Intlks</c:v>
                </c:pt>
                <c:pt idx="6">
                  <c:v>Radiation Intlks</c:v>
                </c:pt>
                <c:pt idx="7">
                  <c:v>MOM</c:v>
                </c:pt>
                <c:pt idx="8">
                  <c:v>VAC</c:v>
                </c:pt>
                <c:pt idx="9">
                  <c:v>Operations</c:v>
                </c:pt>
                <c:pt idx="10">
                  <c:v>Physics</c:v>
                </c:pt>
                <c:pt idx="11">
                  <c:v>ID-FE</c:v>
                </c:pt>
                <c:pt idx="12">
                  <c:v>Electrical-APS</c:v>
                </c:pt>
                <c:pt idx="13">
                  <c:v>Electrical-ANL</c:v>
                </c:pt>
                <c:pt idx="14">
                  <c:v>Cooling-ANL</c:v>
                </c:pt>
                <c:pt idx="15">
                  <c:v>Other</c:v>
                </c:pt>
                <c:pt idx="16">
                  <c:v>Network</c:v>
                </c:pt>
                <c:pt idx="17">
                  <c:v>Unidentified</c:v>
                </c:pt>
              </c:strCache>
            </c:strRef>
          </c:cat>
          <c:val>
            <c:numRef>
              <c:f>Stats!$B$22:$S$22</c:f>
              <c:numCache>
                <c:ptCount val="18"/>
                <c:pt idx="0">
                  <c:v>0.12</c:v>
                </c:pt>
                <c:pt idx="1">
                  <c:v>0.03</c:v>
                </c:pt>
                <c:pt idx="2">
                  <c:v>0.12</c:v>
                </c:pt>
                <c:pt idx="3">
                  <c:v>0.05</c:v>
                </c:pt>
                <c:pt idx="4">
                  <c:v>0.035</c:v>
                </c:pt>
                <c:pt idx="5">
                  <c:v>0.035</c:v>
                </c:pt>
                <c:pt idx="6">
                  <c:v>0.035</c:v>
                </c:pt>
                <c:pt idx="7">
                  <c:v>0.06</c:v>
                </c:pt>
                <c:pt idx="8">
                  <c:v>0.06</c:v>
                </c:pt>
                <c:pt idx="9">
                  <c:v>0.02</c:v>
                </c:pt>
                <c:pt idx="10">
                  <c:v>0</c:v>
                </c:pt>
                <c:pt idx="11">
                  <c:v>0.01</c:v>
                </c:pt>
                <c:pt idx="12">
                  <c:v>0.01</c:v>
                </c:pt>
                <c:pt idx="13">
                  <c:v>0.01</c:v>
                </c:pt>
                <c:pt idx="14">
                  <c:v>0.01</c:v>
                </c:pt>
                <c:pt idx="15">
                  <c:v>0.02</c:v>
                </c:pt>
                <c:pt idx="16">
                  <c:v>0.01</c:v>
                </c:pt>
                <c:pt idx="17">
                  <c:v>0.02</c:v>
                </c:pt>
              </c:numCache>
            </c:numRef>
          </c:val>
        </c:ser>
        <c:axId val="20742878"/>
        <c:axId val="52468175"/>
      </c:barChart>
      <c:catAx>
        <c:axId val="207428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468175"/>
        <c:crossesAt val="0"/>
        <c:auto val="1"/>
        <c:lblOffset val="100"/>
        <c:tickLblSkip val="1"/>
        <c:noMultiLvlLbl val="0"/>
      </c:catAx>
      <c:valAx>
        <c:axId val="52468175"/>
        <c:scaling>
          <c:orientation val="minMax"/>
          <c:max val="0.1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399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Faults/Day</a:t>
                </a:r>
              </a:p>
            </c:rich>
          </c:tx>
          <c:layout>
            <c:manualLayout>
              <c:xMode val="factor"/>
              <c:yMode val="factor"/>
              <c:x val="-0.0197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99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42878"/>
        <c:crossesAt val="1"/>
        <c:crossBetween val="between"/>
        <c:dispUnits/>
      </c:valAx>
      <c:spPr>
        <a:gradFill rotWithShape="1">
          <a:gsLst>
            <a:gs pos="0">
              <a:srgbClr val="00000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6"/>
          <c:y val="0.97525"/>
          <c:w val="0.05675"/>
          <c:h val="0.024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110</xdr:row>
      <xdr:rowOff>76200</xdr:rowOff>
    </xdr:from>
    <xdr:to>
      <xdr:col>11</xdr:col>
      <xdr:colOff>85725</xdr:colOff>
      <xdr:row>111</xdr:row>
      <xdr:rowOff>85725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9344025" y="19973925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69</xdr:row>
      <xdr:rowOff>114300</xdr:rowOff>
    </xdr:from>
    <xdr:to>
      <xdr:col>11</xdr:col>
      <xdr:colOff>9525</xdr:colOff>
      <xdr:row>70</xdr:row>
      <xdr:rowOff>114300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9277350" y="13306425"/>
          <a:ext cx="76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70</xdr:row>
      <xdr:rowOff>114300</xdr:rowOff>
    </xdr:from>
    <xdr:to>
      <xdr:col>11</xdr:col>
      <xdr:colOff>9525</xdr:colOff>
      <xdr:row>71</xdr:row>
      <xdr:rowOff>114300</xdr:rowOff>
    </xdr:to>
    <xdr:sp fLocksText="0">
      <xdr:nvSpPr>
        <xdr:cNvPr id="3" name="Text Box 2"/>
        <xdr:cNvSpPr txBox="1">
          <a:spLocks noChangeArrowheads="1"/>
        </xdr:cNvSpPr>
      </xdr:nvSpPr>
      <xdr:spPr>
        <a:xfrm>
          <a:off x="9277350" y="1347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676275</xdr:colOff>
      <xdr:row>70</xdr:row>
      <xdr:rowOff>114300</xdr:rowOff>
    </xdr:from>
    <xdr:to>
      <xdr:col>11</xdr:col>
      <xdr:colOff>9525</xdr:colOff>
      <xdr:row>71</xdr:row>
      <xdr:rowOff>114300</xdr:rowOff>
    </xdr:to>
    <xdr:sp fLocksText="0">
      <xdr:nvSpPr>
        <xdr:cNvPr id="4" name="Text Box 2"/>
        <xdr:cNvSpPr txBox="1">
          <a:spLocks noChangeArrowheads="1"/>
        </xdr:cNvSpPr>
      </xdr:nvSpPr>
      <xdr:spPr>
        <a:xfrm>
          <a:off x="9277350" y="13477875"/>
          <a:ext cx="76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20</xdr:col>
      <xdr:colOff>123825</xdr:colOff>
      <xdr:row>71</xdr:row>
      <xdr:rowOff>161925</xdr:rowOff>
    </xdr:to>
    <xdr:graphicFrame>
      <xdr:nvGraphicFramePr>
        <xdr:cNvPr id="1" name="Chart 1"/>
        <xdr:cNvGraphicFramePr/>
      </xdr:nvGraphicFramePr>
      <xdr:xfrm>
        <a:off x="0" y="0"/>
        <a:ext cx="12506325" cy="1165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133350</xdr:rowOff>
    </xdr:from>
    <xdr:to>
      <xdr:col>28</xdr:col>
      <xdr:colOff>276225</xdr:colOff>
      <xdr:row>79</xdr:row>
      <xdr:rowOff>28575</xdr:rowOff>
    </xdr:to>
    <xdr:graphicFrame>
      <xdr:nvGraphicFramePr>
        <xdr:cNvPr id="1" name="Chart 1"/>
        <xdr:cNvGraphicFramePr/>
      </xdr:nvGraphicFramePr>
      <xdr:xfrm>
        <a:off x="0" y="619125"/>
        <a:ext cx="17345025" cy="1220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2\2012Fy\reliabilitySummary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unStatisticsbyWeek"/>
      <sheetName val="reliabilitySummary"/>
      <sheetName val="Stats"/>
      <sheetName val="Stats _2_"/>
      <sheetName val="Downtime chart"/>
      <sheetName val="Lost Stores FY chart"/>
      <sheetName val="summary"/>
    </sheetNames>
    <sheetDataSet>
      <sheetData sheetId="1">
        <row r="7">
          <cell r="B7">
            <v>0.0054</v>
          </cell>
          <cell r="F7">
            <v>0.12</v>
          </cell>
        </row>
        <row r="8">
          <cell r="B8">
            <v>0.0012000000000000001</v>
          </cell>
          <cell r="F8">
            <v>0.03</v>
          </cell>
        </row>
        <row r="9">
          <cell r="B9">
            <v>0.0054</v>
          </cell>
        </row>
        <row r="10">
          <cell r="B10">
            <v>0.003</v>
          </cell>
        </row>
        <row r="11">
          <cell r="B11">
            <v>0.0012000000000000001</v>
          </cell>
        </row>
        <row r="16">
          <cell r="B16">
            <v>0.0036000000000000003</v>
          </cell>
        </row>
        <row r="18">
          <cell r="B18">
            <v>0.0012000000000000001</v>
          </cell>
        </row>
        <row r="19">
          <cell r="B19">
            <v>0</v>
          </cell>
        </row>
        <row r="20">
          <cell r="B20">
            <v>0.0006000000000000001</v>
          </cell>
        </row>
        <row r="24">
          <cell r="B24">
            <v>0.0006000000000000001</v>
          </cell>
        </row>
        <row r="25">
          <cell r="B25">
            <v>0.0018000000000000002</v>
          </cell>
        </row>
        <row r="26">
          <cell r="B26">
            <v>0.0006000000000000001</v>
          </cell>
        </row>
        <row r="27">
          <cell r="B27">
            <v>0.0018000000000000002</v>
          </cell>
        </row>
        <row r="28">
          <cell r="B28">
            <v>0.0006000000000000001</v>
          </cell>
        </row>
      </sheetData>
    </sheetDataSet>
  </externalBook>
</externalLink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5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1" containsNumber="1" containsInteger="1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Blank="1" containsMixedTypes="0" count="7">
        <m/>
        <s v="PS"/>
        <s v="AOP"/>
        <s v="RF"/>
        <s v="FMS"/>
        <s v="UNK"/>
        <s v="OTH"/>
      </sharedItems>
    </cacheField>
    <cacheField name="System">
      <sharedItems containsMixedTypes="0"/>
    </cacheField>
    <cacheField name="Group">
      <sharedItems containsMixedTypes="0"/>
    </cacheField>
    <cacheField name="Type">
      <sharedItems containsBlank="1" containsMixedTypes="0" count="4">
        <m/>
        <s v="Inhibits Beam to User"/>
        <s v="Store Lost"/>
        <s v="Scheduled"/>
      </sharedItems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5:T66" sheet="Main Data"/>
  </cacheSource>
  <cacheFields count="20">
    <cacheField name="Fill #">
      <sharedItems containsMixedTypes="1" containsNumber="1" containsInteger="1"/>
    </cacheField>
    <cacheField name="Start">
      <sharedItems containsDate="1" containsMixedTypes="1"/>
    </cacheField>
    <cacheField name="End">
      <sharedItems containsDate="1" containsMixedTypes="1"/>
    </cacheField>
    <cacheField name="Length">
      <sharedItems containsMixedTypes="1" containsNumber="1"/>
    </cacheField>
    <cacheField name="Loss &#10;Reason">
      <sharedItems containsMixedTypes="0"/>
    </cacheField>
    <cacheField name="DIN #">
      <sharedItems containsMixedTypes="0"/>
    </cacheField>
    <cacheField name="Audit">
      <sharedItems containsMixedTypes="0"/>
    </cacheField>
    <cacheField name="Start2">
      <sharedItems containsDate="1" containsMixedTypes="1"/>
    </cacheField>
    <cacheField name="End2">
      <sharedItems containsDate="1" containsMixedTypes="1"/>
    </cacheField>
    <cacheField name="User &#10;Length">
      <sharedItems containsMixedTypes="1" containsNumber="1"/>
    </cacheField>
    <cacheField name="System&#10;Length">
      <sharedItems containsMixedTypes="1" containsNumber="1"/>
    </cacheField>
    <cacheField name="Cause">
      <sharedItems containsMixedTypes="0"/>
    </cacheField>
    <cacheField name="System">
      <sharedItems containsMixedTypes="0"/>
    </cacheField>
    <cacheField name="Group">
      <sharedItems containsBlank="1" containsMixedTypes="0" count="11">
        <s v="RF"/>
        <s v="SI"/>
        <m/>
        <s v="DIA"/>
        <s v="AOP"/>
        <s v="PS"/>
        <s v="MOM"/>
        <s v="CTL"/>
        <s v="UNK"/>
        <s v="FAC"/>
        <s v="ComEd"/>
      </sharedItems>
    </cacheField>
    <cacheField name="Type">
      <sharedItems containsMixedTypes="0"/>
    </cacheField>
    <cacheField name="Description">
      <sharedItems containsMixedTypes="0"/>
    </cacheField>
    <cacheField name="Store Lost">
      <sharedItems containsMixedTypes="1" containsNumber="1" containsInteger="1"/>
    </cacheField>
    <cacheField name="Intention. Dump">
      <sharedItems containsMixedTypes="1" containsNumber="1" containsInteger="1"/>
    </cacheField>
    <cacheField name="Inhibits Beam">
      <sharedItems containsMixedTypes="1" containsNumber="1" containsInteger="1"/>
    </cacheField>
    <cacheField name="TOTAL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4" cacheId="17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K7" firstHeaderRow="1" firstDataRow="2" firstDataCol="1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12">
        <item h="1" x="2"/>
        <item x="5"/>
        <item x="0"/>
        <item x="6"/>
        <item x="4"/>
        <item m="1" x="10"/>
        <item x="1"/>
        <item x="3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1">
    <field x="-2"/>
  </rowFields>
  <rowItems count="3">
    <i>
      <x/>
    </i>
    <i i="1">
      <x v="1"/>
    </i>
    <i i="2">
      <x v="2"/>
    </i>
  </rowItems>
  <colFields count="1">
    <field x="13"/>
  </colFields>
  <colItems count="10">
    <i>
      <x v="1"/>
    </i>
    <i>
      <x v="2"/>
    </i>
    <i>
      <x v="3"/>
    </i>
    <i>
      <x v="4"/>
    </i>
    <i>
      <x v="6"/>
    </i>
    <i>
      <x v="7"/>
    </i>
    <i>
      <x v="8"/>
    </i>
    <i>
      <x v="9"/>
    </i>
    <i>
      <x v="10"/>
    </i>
    <i t="grand">
      <x/>
    </i>
  </colItems>
  <dataFields count="3">
    <dataField name="Sum - Inhibits Beam" fld="18" baseField="0" baseItem="0"/>
    <dataField name="Sum - Store Lost" fld="16" baseField="13" baseItem="0"/>
    <dataField name="Sum of System &#10;Length" fld="10" baseField="0" baseItem="0"/>
  </dataFields>
  <formats count="3">
    <format dxfId="0">
      <pivotArea outline="0" fieldPosition="0">
        <references count="2">
          <reference field="4294967294" count="1">
            <x v="2"/>
          </reference>
          <reference field="13" count="1">
            <x v="1"/>
          </reference>
        </references>
      </pivotArea>
    </format>
    <format dxfId="0">
      <pivotArea outline="0" fieldPosition="0">
        <references count="2">
          <reference field="4294967294" count="1">
            <x v="2"/>
          </reference>
          <reference field="13" count="1">
            <x v="2"/>
          </reference>
        </references>
      </pivotArea>
    </format>
    <format dxfId="0">
      <pivotArea outline="0" fieldPosition="0" axis="axisCol" field="13" grandCol="1">
        <references count="1">
          <reference field="4294967294" count="1">
            <x v="2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2" dataOnRows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6:F43" firstHeaderRow="1" firstDataRow="2" firstDataCol="2"/>
  <pivotFields count="20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 defaultSubtotal="0">
      <items count="7">
        <item h="1" x="0"/>
        <item x="1"/>
        <item x="3"/>
        <item x="2"/>
        <item m="1" x="5"/>
        <item m="1" x="4"/>
        <item m="1" x="6"/>
      </items>
    </pivotField>
    <pivotField compact="0" outline="0" subtotalTop="0" showAll="0"/>
    <pivotField compact="0" outline="0" subtotalTop="0" showAll="0"/>
    <pivotField axis="axisRow" compact="0" outline="0" subtotalTop="0" showAll="0" defaultSubtotal="0">
      <items count="4">
        <item x="3"/>
        <item x="0"/>
        <item x="2"/>
        <item x="1"/>
      </items>
    </pivotField>
    <pivotField compact="0" outline="0" subtotalTop="0" showAll="0"/>
    <pivotField dataField="1"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</pivotFields>
  <rowFields count="2">
    <field x="14"/>
    <field x="-2"/>
  </rowFields>
  <rowItems count="6">
    <i>
      <x v="2"/>
      <x/>
    </i>
    <i i="1" r="1">
      <x v="1"/>
    </i>
    <i>
      <x v="3"/>
      <x/>
    </i>
    <i i="1" r="1">
      <x v="1"/>
    </i>
    <i t="grand">
      <x/>
    </i>
    <i t="grand" i="1">
      <x/>
    </i>
  </rowItems>
  <colFields count="1">
    <field x="11"/>
  </colFields>
  <colItems count="4">
    <i>
      <x v="1"/>
    </i>
    <i>
      <x v="2"/>
    </i>
    <i>
      <x v="3"/>
    </i>
    <i t="grand">
      <x/>
    </i>
  </colItems>
  <dataFields count="2">
    <dataField name="Sum - Store Lost" fld="16" baseField="0" baseItem="0"/>
    <dataField name="Sum - Inhibits Beam" fld="18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8"/>
  <sheetViews>
    <sheetView tabSelected="1" zoomScale="75" zoomScaleNormal="75" zoomScalePageLayoutView="0" workbookViewId="0" topLeftCell="A1">
      <pane ySplit="5" topLeftCell="A54" activePane="bottomLeft" state="frozen"/>
      <selection pane="topLeft" activeCell="A1" sqref="A1"/>
      <selection pane="bottomLeft" activeCell="F64" sqref="F64"/>
    </sheetView>
  </sheetViews>
  <sheetFormatPr defaultColWidth="9.00390625" defaultRowHeight="12.75"/>
  <cols>
    <col min="1" max="1" width="6.7109375" style="1" customWidth="1"/>
    <col min="2" max="2" width="15.7109375" style="2" customWidth="1"/>
    <col min="3" max="3" width="16.57421875" style="2" customWidth="1"/>
    <col min="4" max="4" width="10.421875" style="3" customWidth="1"/>
    <col min="5" max="5" width="27.140625" style="4" customWidth="1"/>
    <col min="6" max="6" width="9.28125" style="5" customWidth="1"/>
    <col min="7" max="7" width="3.28125" style="6" customWidth="1"/>
    <col min="8" max="8" width="15.8515625" style="7" customWidth="1"/>
    <col min="9" max="9" width="15.421875" style="7" customWidth="1"/>
    <col min="10" max="10" width="8.57421875" style="3" customWidth="1"/>
    <col min="11" max="11" width="11.140625" style="8" customWidth="1"/>
    <col min="12" max="12" width="11.28125" style="9" customWidth="1"/>
    <col min="13" max="13" width="13.140625" style="10" customWidth="1"/>
    <col min="14" max="14" width="11.28125" style="10" customWidth="1"/>
    <col min="15" max="15" width="21.57421875" style="9" customWidth="1"/>
    <col min="16" max="16" width="68.140625" style="11" customWidth="1"/>
    <col min="17" max="19" width="5.7109375" style="12" customWidth="1"/>
    <col min="20" max="16384" width="9.00390625" style="12" customWidth="1"/>
  </cols>
  <sheetData>
    <row r="1" spans="1:24" ht="12.75">
      <c r="A1" s="13" t="s">
        <v>0</v>
      </c>
      <c r="B1" s="14"/>
      <c r="C1" s="14"/>
      <c r="D1" s="15">
        <v>0.25</v>
      </c>
      <c r="E1" s="16" t="s">
        <v>1</v>
      </c>
      <c r="F1" s="17"/>
      <c r="G1" s="18"/>
      <c r="H1" s="19"/>
      <c r="I1" s="19"/>
      <c r="J1" s="15"/>
      <c r="K1" s="20"/>
      <c r="L1" s="21"/>
      <c r="M1" s="22"/>
      <c r="N1" s="22"/>
      <c r="O1" s="21"/>
      <c r="P1" s="23"/>
      <c r="W1" s="24" t="s">
        <v>2</v>
      </c>
      <c r="X1" s="12">
        <f>D1/24</f>
        <v>0.010416666666666666</v>
      </c>
    </row>
    <row r="2" spans="1:16" ht="26.25">
      <c r="A2" s="194" t="s">
        <v>77</v>
      </c>
      <c r="B2" s="194"/>
      <c r="C2" s="194"/>
      <c r="D2" s="194"/>
      <c r="E2" s="194"/>
      <c r="F2" s="194"/>
      <c r="G2" s="194"/>
      <c r="H2" s="194"/>
      <c r="I2" s="194"/>
      <c r="J2" s="25"/>
      <c r="K2" s="25"/>
      <c r="L2" s="26"/>
      <c r="M2" s="27"/>
      <c r="N2" s="27"/>
      <c r="O2" s="26"/>
      <c r="P2" s="23"/>
    </row>
    <row r="3" spans="1:20" s="30" customFormat="1" ht="12.75">
      <c r="A3" s="28"/>
      <c r="B3" s="14"/>
      <c r="C3" s="14"/>
      <c r="D3" s="15"/>
      <c r="E3" s="16"/>
      <c r="F3" s="29"/>
      <c r="G3" s="18"/>
      <c r="H3" s="19"/>
      <c r="I3" s="19"/>
      <c r="J3" s="15"/>
      <c r="K3" s="20"/>
      <c r="L3" s="21"/>
      <c r="M3" s="22"/>
      <c r="N3" s="22"/>
      <c r="O3" s="21"/>
      <c r="P3" s="23"/>
      <c r="Q3" s="12"/>
      <c r="R3" s="12"/>
      <c r="S3" s="12"/>
      <c r="T3" s="12"/>
    </row>
    <row r="4" spans="1:20" s="30" customFormat="1" ht="20.25" customHeight="1">
      <c r="A4" s="28"/>
      <c r="B4" s="14"/>
      <c r="C4" s="14"/>
      <c r="D4" s="15"/>
      <c r="E4" s="16"/>
      <c r="F4" s="29"/>
      <c r="G4" s="18"/>
      <c r="H4" s="19"/>
      <c r="I4" s="19"/>
      <c r="J4" s="15"/>
      <c r="K4" s="20"/>
      <c r="L4" s="21"/>
      <c r="M4" s="22"/>
      <c r="N4" s="22"/>
      <c r="O4" s="21"/>
      <c r="P4" s="23"/>
      <c r="Q4" s="12"/>
      <c r="R4" s="12"/>
      <c r="S4" s="12"/>
      <c r="T4" s="12"/>
    </row>
    <row r="5" spans="1:20" s="30" customFormat="1" ht="66.75" customHeight="1">
      <c r="A5" s="97" t="s">
        <v>3</v>
      </c>
      <c r="B5" s="98" t="s">
        <v>4</v>
      </c>
      <c r="C5" s="98" t="s">
        <v>5</v>
      </c>
      <c r="D5" s="99" t="s">
        <v>6</v>
      </c>
      <c r="E5" s="100" t="s">
        <v>7</v>
      </c>
      <c r="F5" s="97" t="s">
        <v>8</v>
      </c>
      <c r="G5" s="101" t="s">
        <v>9</v>
      </c>
      <c r="H5" s="98" t="s">
        <v>4</v>
      </c>
      <c r="I5" s="98" t="s">
        <v>5</v>
      </c>
      <c r="J5" s="102" t="s">
        <v>10</v>
      </c>
      <c r="K5" s="103" t="s">
        <v>11</v>
      </c>
      <c r="L5" s="104" t="s">
        <v>12</v>
      </c>
      <c r="M5" s="105" t="s">
        <v>13</v>
      </c>
      <c r="N5" s="105" t="s">
        <v>14</v>
      </c>
      <c r="O5" s="104" t="s">
        <v>15</v>
      </c>
      <c r="P5" s="31" t="s">
        <v>16</v>
      </c>
      <c r="Q5" s="32" t="s">
        <v>17</v>
      </c>
      <c r="R5" s="32" t="s">
        <v>18</v>
      </c>
      <c r="S5" s="32" t="s">
        <v>19</v>
      </c>
      <c r="T5" s="33" t="s">
        <v>20</v>
      </c>
    </row>
    <row r="6" spans="1:23" s="118" customFormat="1" ht="15.75" customHeight="1">
      <c r="A6" s="122">
        <v>1</v>
      </c>
      <c r="B6" s="123">
        <v>44593.333333333336</v>
      </c>
      <c r="C6" s="123">
        <v>44594.38680555556</v>
      </c>
      <c r="D6" s="153">
        <f aca="true" t="shared" si="0" ref="D6:D12">(C6-B6)*24</f>
        <v>25.283333333325572</v>
      </c>
      <c r="E6" s="123" t="s">
        <v>72</v>
      </c>
      <c r="F6" s="124">
        <v>107492</v>
      </c>
      <c r="G6" s="125"/>
      <c r="H6" s="123">
        <v>44594.38680555556</v>
      </c>
      <c r="I6" s="123">
        <v>44594.41388888889</v>
      </c>
      <c r="J6" s="153">
        <f>(I6-H6)*24</f>
        <v>0.6500000000232831</v>
      </c>
      <c r="K6" s="153">
        <f>(I6-H6)*24</f>
        <v>0.6500000000232831</v>
      </c>
      <c r="L6" s="126" t="s">
        <v>23</v>
      </c>
      <c r="M6" s="127" t="s">
        <v>23</v>
      </c>
      <c r="N6" s="127" t="s">
        <v>23</v>
      </c>
      <c r="O6" s="128" t="s">
        <v>17</v>
      </c>
      <c r="P6" s="123"/>
      <c r="Q6" s="129">
        <f aca="true" t="shared" si="1" ref="Q6:Q65">IF($O6="Store Lost",1,"")</f>
        <v>1</v>
      </c>
      <c r="R6" s="129">
        <f aca="true" t="shared" si="2" ref="R6:R65">IF($O6="Scheduled",1,"")</f>
      </c>
      <c r="S6" s="129">
        <f aca="true" t="shared" si="3" ref="S6:S65">IF($O6="Inhibits beam to user",1,"")</f>
      </c>
      <c r="T6" s="130">
        <f aca="true" t="shared" si="4" ref="T6:T25">SUM(Q6:S6)</f>
        <v>1</v>
      </c>
      <c r="U6" s="117"/>
      <c r="V6" s="117"/>
      <c r="W6" s="117"/>
    </row>
    <row r="7" spans="1:23" s="132" customFormat="1" ht="12.75">
      <c r="A7" s="133">
        <v>2</v>
      </c>
      <c r="B7" s="134">
        <v>44594.41388888889</v>
      </c>
      <c r="C7" s="157">
        <v>44595.02638888889</v>
      </c>
      <c r="D7" s="135">
        <f t="shared" si="0"/>
        <v>14.699999999895226</v>
      </c>
      <c r="E7" s="134" t="s">
        <v>73</v>
      </c>
      <c r="F7" s="136">
        <v>107493</v>
      </c>
      <c r="G7" s="137"/>
      <c r="H7" s="157">
        <v>44595.02638888889</v>
      </c>
      <c r="I7" s="134">
        <v>44595.11875</v>
      </c>
      <c r="J7" s="135">
        <f>(I7-H7)*24</f>
        <v>2.2166666667326353</v>
      </c>
      <c r="K7" s="135">
        <f>(I7-H7)*24</f>
        <v>2.2166666667326353</v>
      </c>
      <c r="L7" s="138" t="s">
        <v>71</v>
      </c>
      <c r="M7" s="139" t="s">
        <v>71</v>
      </c>
      <c r="N7" s="139" t="s">
        <v>71</v>
      </c>
      <c r="O7" s="140" t="s">
        <v>17</v>
      </c>
      <c r="P7" s="134"/>
      <c r="Q7" s="129">
        <f t="shared" si="1"/>
        <v>1</v>
      </c>
      <c r="R7" s="129">
        <f t="shared" si="2"/>
      </c>
      <c r="S7" s="129">
        <f t="shared" si="3"/>
      </c>
      <c r="T7" s="130">
        <f t="shared" si="4"/>
        <v>1</v>
      </c>
      <c r="U7" s="131"/>
      <c r="V7" s="131"/>
      <c r="W7" s="131"/>
    </row>
    <row r="8" spans="1:23" s="118" customFormat="1" ht="15.75" customHeight="1">
      <c r="A8" s="122">
        <v>3</v>
      </c>
      <c r="B8" s="123">
        <v>44595.11875</v>
      </c>
      <c r="C8" s="123">
        <v>44596.64027777778</v>
      </c>
      <c r="D8" s="153">
        <f t="shared" si="0"/>
        <v>36.51666666660458</v>
      </c>
      <c r="E8" s="123" t="s">
        <v>74</v>
      </c>
      <c r="F8" s="124">
        <v>107495</v>
      </c>
      <c r="G8" s="125"/>
      <c r="H8" s="123">
        <v>44596.64027777778</v>
      </c>
      <c r="I8" s="123">
        <v>44596.79375</v>
      </c>
      <c r="J8" s="153">
        <f>(I8-H8)*24</f>
        <v>3.6833333332906477</v>
      </c>
      <c r="K8" s="153"/>
      <c r="L8" s="126"/>
      <c r="M8" s="127"/>
      <c r="N8" s="127"/>
      <c r="O8" s="128"/>
      <c r="P8" s="123"/>
      <c r="Q8" s="129">
        <f t="shared" si="1"/>
      </c>
      <c r="R8" s="129">
        <f t="shared" si="2"/>
      </c>
      <c r="S8" s="129">
        <f t="shared" si="3"/>
      </c>
      <c r="T8" s="130">
        <f t="shared" si="4"/>
        <v>0</v>
      </c>
      <c r="U8" s="117"/>
      <c r="V8" s="117"/>
      <c r="W8" s="117"/>
    </row>
    <row r="9" spans="1:23" s="132" customFormat="1" ht="12.75">
      <c r="A9" s="133"/>
      <c r="B9" s="134"/>
      <c r="C9" s="182"/>
      <c r="D9" s="135">
        <f t="shared" si="0"/>
        <v>0</v>
      </c>
      <c r="E9" s="134"/>
      <c r="F9" s="118"/>
      <c r="G9" s="137"/>
      <c r="H9" s="187">
        <v>44596.64027777778</v>
      </c>
      <c r="I9" s="187">
        <v>44596.66180555556</v>
      </c>
      <c r="J9" s="178"/>
      <c r="K9" s="178">
        <f>(I9-H9)*24</f>
        <v>0.5166666667792015</v>
      </c>
      <c r="L9" s="179" t="s">
        <v>23</v>
      </c>
      <c r="M9" s="180" t="s">
        <v>23</v>
      </c>
      <c r="N9" s="180" t="s">
        <v>23</v>
      </c>
      <c r="O9" s="181" t="s">
        <v>17</v>
      </c>
      <c r="P9" s="177"/>
      <c r="Q9" s="129">
        <f t="shared" si="1"/>
        <v>1</v>
      </c>
      <c r="R9" s="129">
        <f t="shared" si="2"/>
      </c>
      <c r="S9" s="129">
        <f t="shared" si="3"/>
      </c>
      <c r="T9" s="130">
        <f t="shared" si="4"/>
        <v>1</v>
      </c>
      <c r="U9" s="131"/>
      <c r="V9" s="131"/>
      <c r="W9" s="131"/>
    </row>
    <row r="10" spans="1:23" s="132" customFormat="1" ht="12.75">
      <c r="A10" s="133"/>
      <c r="B10" s="134"/>
      <c r="C10" s="182"/>
      <c r="D10" s="135">
        <f t="shared" si="0"/>
        <v>0</v>
      </c>
      <c r="E10" s="134"/>
      <c r="F10" s="136">
        <v>107496</v>
      </c>
      <c r="G10" s="137"/>
      <c r="H10" s="188">
        <v>44596.66180555556</v>
      </c>
      <c r="I10" s="188">
        <v>44596.79375</v>
      </c>
      <c r="J10" s="189"/>
      <c r="K10" s="189">
        <f>(I10-H10)*24</f>
        <v>3.1666666665114462</v>
      </c>
      <c r="L10" s="190" t="s">
        <v>71</v>
      </c>
      <c r="M10" s="191" t="s">
        <v>71</v>
      </c>
      <c r="N10" s="191" t="s">
        <v>71</v>
      </c>
      <c r="O10" s="192" t="s">
        <v>66</v>
      </c>
      <c r="P10" s="193" t="s">
        <v>76</v>
      </c>
      <c r="Q10" s="129">
        <f t="shared" si="1"/>
      </c>
      <c r="R10" s="129">
        <f t="shared" si="2"/>
      </c>
      <c r="S10" s="129">
        <f t="shared" si="3"/>
        <v>1</v>
      </c>
      <c r="T10" s="130">
        <f t="shared" si="4"/>
        <v>1</v>
      </c>
      <c r="U10" s="131"/>
      <c r="V10" s="131"/>
      <c r="W10" s="131"/>
    </row>
    <row r="11" spans="1:23" s="132" customFormat="1" ht="12.75">
      <c r="A11" s="133">
        <v>5</v>
      </c>
      <c r="B11" s="134">
        <v>44596.79375</v>
      </c>
      <c r="C11" s="157">
        <v>44598.044444444444</v>
      </c>
      <c r="D11" s="183">
        <f t="shared" si="0"/>
        <v>30.016666666720994</v>
      </c>
      <c r="E11" s="184" t="s">
        <v>75</v>
      </c>
      <c r="F11" s="185">
        <v>107497</v>
      </c>
      <c r="G11" s="186"/>
      <c r="H11" s="157">
        <v>44598.044444444444</v>
      </c>
      <c r="I11" s="157">
        <v>44598.075</v>
      </c>
      <c r="J11" s="135">
        <f>(I11-H11)*24</f>
        <v>0.7333333332790062</v>
      </c>
      <c r="K11" s="135">
        <f>(I11-H11)*24</f>
        <v>0.7333333332790062</v>
      </c>
      <c r="L11" s="138" t="s">
        <v>80</v>
      </c>
      <c r="M11" s="139" t="s">
        <v>80</v>
      </c>
      <c r="N11" s="139" t="s">
        <v>80</v>
      </c>
      <c r="O11" s="140" t="s">
        <v>17</v>
      </c>
      <c r="P11" s="134"/>
      <c r="Q11" s="129">
        <f t="shared" si="1"/>
        <v>1</v>
      </c>
      <c r="R11" s="129">
        <f t="shared" si="2"/>
      </c>
      <c r="S11" s="129">
        <f t="shared" si="3"/>
      </c>
      <c r="T11" s="130">
        <f t="shared" si="4"/>
        <v>1</v>
      </c>
      <c r="U11" s="131"/>
      <c r="V11" s="131"/>
      <c r="W11" s="131"/>
    </row>
    <row r="12" spans="1:23" s="118" customFormat="1" ht="15.75" customHeight="1">
      <c r="A12" s="122">
        <v>6</v>
      </c>
      <c r="B12" s="123">
        <v>44598.075</v>
      </c>
      <c r="C12" s="123">
        <v>44599.333333333336</v>
      </c>
      <c r="D12" s="153">
        <f t="shared" si="0"/>
        <v>30.200000000128057</v>
      </c>
      <c r="E12" s="123" t="s">
        <v>67</v>
      </c>
      <c r="F12" s="124"/>
      <c r="G12" s="125"/>
      <c r="H12" s="123"/>
      <c r="I12" s="123"/>
      <c r="J12" s="153">
        <f>(I12-H12)*24</f>
        <v>0</v>
      </c>
      <c r="K12" s="153">
        <f>(I12-H12)*24</f>
        <v>0</v>
      </c>
      <c r="L12" s="126"/>
      <c r="M12" s="127"/>
      <c r="N12" s="127"/>
      <c r="O12" s="128" t="s">
        <v>21</v>
      </c>
      <c r="P12" s="123"/>
      <c r="Q12" s="129">
        <f t="shared" si="1"/>
      </c>
      <c r="R12" s="129">
        <f t="shared" si="2"/>
        <v>1</v>
      </c>
      <c r="S12" s="129">
        <f t="shared" si="3"/>
      </c>
      <c r="T12" s="130">
        <f t="shared" si="4"/>
        <v>1</v>
      </c>
      <c r="U12" s="117"/>
      <c r="V12" s="117"/>
      <c r="W12" s="117"/>
    </row>
    <row r="13" spans="1:23" s="152" customFormat="1" ht="12.75">
      <c r="A13" s="141"/>
      <c r="B13" s="142"/>
      <c r="C13" s="142"/>
      <c r="D13" s="143">
        <f>SUM(D6:D12)</f>
        <v>136.71666666667443</v>
      </c>
      <c r="E13" s="144"/>
      <c r="F13" s="145"/>
      <c r="G13" s="146"/>
      <c r="H13" s="147"/>
      <c r="I13" s="147"/>
      <c r="J13" s="148">
        <f>SUM(J6:J12)</f>
        <v>7.283333333325572</v>
      </c>
      <c r="K13" s="148">
        <f>SUM(K6:K12)</f>
        <v>7.283333333325572</v>
      </c>
      <c r="L13" s="149"/>
      <c r="M13" s="150"/>
      <c r="N13" s="150"/>
      <c r="O13" s="151"/>
      <c r="P13" s="144"/>
      <c r="Q13" s="129">
        <f t="shared" si="1"/>
      </c>
      <c r="R13" s="129">
        <f t="shared" si="2"/>
      </c>
      <c r="S13" s="129">
        <f t="shared" si="3"/>
      </c>
      <c r="T13" s="130">
        <f t="shared" si="4"/>
        <v>0</v>
      </c>
      <c r="U13" s="30"/>
      <c r="V13" s="30"/>
      <c r="W13" s="30"/>
    </row>
    <row r="14" spans="1:23" s="118" customFormat="1" ht="15.75" customHeight="1">
      <c r="A14" s="133">
        <v>7</v>
      </c>
      <c r="B14" s="134">
        <v>44600.333333333336</v>
      </c>
      <c r="C14" s="134">
        <v>44604.263194444444</v>
      </c>
      <c r="D14" s="135">
        <f>(C14-B14)*24</f>
        <v>94.31666666659294</v>
      </c>
      <c r="E14" s="134" t="s">
        <v>78</v>
      </c>
      <c r="F14" s="136">
        <v>107501</v>
      </c>
      <c r="G14" s="137"/>
      <c r="H14" s="134">
        <v>44604.263194444444</v>
      </c>
      <c r="I14" s="134">
        <v>44604.28194444445</v>
      </c>
      <c r="J14" s="135">
        <f>(I14-H14)*24</f>
        <v>0.4500000000698492</v>
      </c>
      <c r="K14" s="135">
        <f>(I14-H14)*24</f>
        <v>0.4500000000698492</v>
      </c>
      <c r="L14" s="138" t="s">
        <v>23</v>
      </c>
      <c r="M14" s="139" t="s">
        <v>23</v>
      </c>
      <c r="N14" s="139" t="s">
        <v>23</v>
      </c>
      <c r="O14" s="140" t="s">
        <v>17</v>
      </c>
      <c r="P14" s="134"/>
      <c r="Q14" s="129">
        <f t="shared" si="1"/>
        <v>1</v>
      </c>
      <c r="R14" s="129">
        <f t="shared" si="2"/>
      </c>
      <c r="S14" s="129">
        <f t="shared" si="3"/>
      </c>
      <c r="T14" s="130">
        <f t="shared" si="4"/>
        <v>1</v>
      </c>
      <c r="U14" s="117"/>
      <c r="V14" s="117"/>
      <c r="W14" s="117"/>
    </row>
    <row r="15" spans="1:23" s="118" customFormat="1" ht="15.75" customHeight="1">
      <c r="A15" s="122">
        <v>8</v>
      </c>
      <c r="B15" s="123">
        <v>44604.28194444445</v>
      </c>
      <c r="C15" s="123">
        <v>44606.333333333336</v>
      </c>
      <c r="D15" s="153">
        <f>(C15-B15)*24</f>
        <v>49.233333333337214</v>
      </c>
      <c r="E15" s="123" t="s">
        <v>67</v>
      </c>
      <c r="F15" s="124"/>
      <c r="G15" s="125"/>
      <c r="H15" s="123"/>
      <c r="I15" s="123"/>
      <c r="J15" s="153">
        <f>(I15-H15)*24</f>
        <v>0</v>
      </c>
      <c r="K15" s="153">
        <f>(I15-H15)*24</f>
        <v>0</v>
      </c>
      <c r="L15" s="126"/>
      <c r="M15" s="127"/>
      <c r="N15" s="127"/>
      <c r="O15" s="128" t="s">
        <v>21</v>
      </c>
      <c r="P15" s="123"/>
      <c r="Q15" s="129">
        <f t="shared" si="1"/>
      </c>
      <c r="R15" s="129">
        <f t="shared" si="2"/>
        <v>1</v>
      </c>
      <c r="S15" s="129">
        <f t="shared" si="3"/>
      </c>
      <c r="T15" s="130">
        <f t="shared" si="4"/>
        <v>1</v>
      </c>
      <c r="U15" s="117"/>
      <c r="V15" s="117"/>
      <c r="W15" s="117"/>
    </row>
    <row r="16" spans="1:23" s="152" customFormat="1" ht="12.75">
      <c r="A16" s="141"/>
      <c r="B16" s="142"/>
      <c r="C16" s="142"/>
      <c r="D16" s="143">
        <f>SUM(D14:D15)</f>
        <v>143.54999999993015</v>
      </c>
      <c r="E16" s="144"/>
      <c r="F16" s="145"/>
      <c r="G16" s="146"/>
      <c r="H16" s="147"/>
      <c r="I16" s="147"/>
      <c r="J16" s="148">
        <f>SUM(J14:J15)</f>
        <v>0.4500000000698492</v>
      </c>
      <c r="K16" s="148">
        <f>SUM(K14:K15)</f>
        <v>0.4500000000698492</v>
      </c>
      <c r="L16" s="149"/>
      <c r="M16" s="150"/>
      <c r="N16" s="150"/>
      <c r="O16" s="151"/>
      <c r="P16" s="144"/>
      <c r="Q16" s="129">
        <f t="shared" si="1"/>
      </c>
      <c r="R16" s="129">
        <f t="shared" si="2"/>
      </c>
      <c r="S16" s="129">
        <f t="shared" si="3"/>
      </c>
      <c r="T16" s="130">
        <f t="shared" si="4"/>
        <v>0</v>
      </c>
      <c r="U16" s="30"/>
      <c r="V16" s="30"/>
      <c r="W16" s="30"/>
    </row>
    <row r="17" spans="1:23" s="118" customFormat="1" ht="15.75" customHeight="1">
      <c r="A17" s="133">
        <v>9</v>
      </c>
      <c r="B17" s="134">
        <v>44607.333333333336</v>
      </c>
      <c r="C17" s="134">
        <v>44609.59305555555</v>
      </c>
      <c r="D17" s="135">
        <f>(C17-B17)*24</f>
        <v>54.2333333332208</v>
      </c>
      <c r="E17" s="134" t="s">
        <v>79</v>
      </c>
      <c r="F17" s="136">
        <v>107506</v>
      </c>
      <c r="G17" s="137"/>
      <c r="H17" s="134">
        <v>44609.59305555555</v>
      </c>
      <c r="I17" s="134">
        <v>44609.625</v>
      </c>
      <c r="J17" s="135">
        <f>(I17-H17)*24</f>
        <v>0.7666666667209938</v>
      </c>
      <c r="K17" s="135">
        <f>(I17-H17)*24</f>
        <v>0.7666666667209938</v>
      </c>
      <c r="L17" s="138" t="s">
        <v>80</v>
      </c>
      <c r="M17" s="139" t="s">
        <v>80</v>
      </c>
      <c r="N17" s="139" t="s">
        <v>80</v>
      </c>
      <c r="O17" s="140" t="s">
        <v>17</v>
      </c>
      <c r="P17" s="134"/>
      <c r="Q17" s="129">
        <f t="shared" si="1"/>
        <v>1</v>
      </c>
      <c r="R17" s="129">
        <f t="shared" si="2"/>
      </c>
      <c r="S17" s="129">
        <f t="shared" si="3"/>
      </c>
      <c r="T17" s="130">
        <f t="shared" si="4"/>
        <v>1</v>
      </c>
      <c r="U17" s="117"/>
      <c r="V17" s="117"/>
      <c r="W17" s="117"/>
    </row>
    <row r="18" spans="1:23" s="118" customFormat="1" ht="15.75" customHeight="1">
      <c r="A18" s="122">
        <v>10</v>
      </c>
      <c r="B18" s="123">
        <v>44609.625</v>
      </c>
      <c r="C18" s="123">
        <v>44613.333333333336</v>
      </c>
      <c r="D18" s="153">
        <f>(C18-B18)*24</f>
        <v>89.00000000005821</v>
      </c>
      <c r="E18" s="123" t="s">
        <v>67</v>
      </c>
      <c r="F18" s="124"/>
      <c r="G18" s="125"/>
      <c r="H18" s="123"/>
      <c r="I18" s="123"/>
      <c r="J18" s="153">
        <f>(I18-H18)*24</f>
        <v>0</v>
      </c>
      <c r="K18" s="153">
        <f>(I18-H18)*24</f>
        <v>0</v>
      </c>
      <c r="L18" s="126"/>
      <c r="M18" s="127"/>
      <c r="N18" s="127"/>
      <c r="O18" s="128" t="s">
        <v>21</v>
      </c>
      <c r="P18" s="123"/>
      <c r="Q18" s="129">
        <f t="shared" si="1"/>
      </c>
      <c r="R18" s="129">
        <f t="shared" si="2"/>
        <v>1</v>
      </c>
      <c r="S18" s="129">
        <f t="shared" si="3"/>
      </c>
      <c r="T18" s="130">
        <f t="shared" si="4"/>
        <v>1</v>
      </c>
      <c r="U18" s="117"/>
      <c r="V18" s="117"/>
      <c r="W18" s="117"/>
    </row>
    <row r="19" spans="1:23" s="152" customFormat="1" ht="12.75">
      <c r="A19" s="141"/>
      <c r="B19" s="142"/>
      <c r="C19" s="142"/>
      <c r="D19" s="143">
        <f>SUM(D17:D18)</f>
        <v>143.233333333279</v>
      </c>
      <c r="E19" s="144"/>
      <c r="F19" s="145"/>
      <c r="G19" s="146"/>
      <c r="H19" s="147"/>
      <c r="I19" s="147"/>
      <c r="J19" s="148">
        <f>SUM(J17:J18)</f>
        <v>0.7666666667209938</v>
      </c>
      <c r="K19" s="148">
        <f>SUM(K17:K18)</f>
        <v>0.7666666667209938</v>
      </c>
      <c r="L19" s="149"/>
      <c r="M19" s="150"/>
      <c r="N19" s="150"/>
      <c r="O19" s="151"/>
      <c r="P19" s="144"/>
      <c r="Q19" s="129">
        <f t="shared" si="1"/>
      </c>
      <c r="R19" s="129">
        <f t="shared" si="2"/>
      </c>
      <c r="S19" s="129">
        <f t="shared" si="3"/>
      </c>
      <c r="T19" s="130">
        <f t="shared" si="4"/>
        <v>0</v>
      </c>
      <c r="U19" s="30"/>
      <c r="V19" s="30"/>
      <c r="W19" s="30"/>
    </row>
    <row r="20" spans="1:23" s="132" customFormat="1" ht="12.75">
      <c r="A20" s="133">
        <v>11</v>
      </c>
      <c r="B20" s="134">
        <v>44614.333333333336</v>
      </c>
      <c r="C20" s="157">
        <v>44614.947916666664</v>
      </c>
      <c r="D20" s="135">
        <f>(C20-B20)*24</f>
        <v>14.749999999883585</v>
      </c>
      <c r="E20" s="134" t="s">
        <v>81</v>
      </c>
      <c r="F20" s="136">
        <v>107507</v>
      </c>
      <c r="G20" s="137"/>
      <c r="H20" s="157">
        <v>44614.947916666664</v>
      </c>
      <c r="I20" s="134">
        <v>44614.975</v>
      </c>
      <c r="J20" s="135">
        <f>(I20-H20)*24</f>
        <v>0.6500000000232831</v>
      </c>
      <c r="K20" s="135">
        <f>(I20-H20)*24</f>
        <v>0.6500000000232831</v>
      </c>
      <c r="L20" s="138" t="s">
        <v>65</v>
      </c>
      <c r="M20" s="139" t="s">
        <v>65</v>
      </c>
      <c r="N20" s="139" t="s">
        <v>65</v>
      </c>
      <c r="O20" s="140" t="s">
        <v>17</v>
      </c>
      <c r="P20" s="134"/>
      <c r="Q20" s="129">
        <f t="shared" si="1"/>
        <v>1</v>
      </c>
      <c r="R20" s="129">
        <f t="shared" si="2"/>
      </c>
      <c r="S20" s="129">
        <f t="shared" si="3"/>
      </c>
      <c r="T20" s="130">
        <f t="shared" si="4"/>
        <v>1</v>
      </c>
      <c r="U20" s="131"/>
      <c r="V20" s="131"/>
      <c r="W20" s="131"/>
    </row>
    <row r="21" spans="1:23" s="118" customFormat="1" ht="15.75" customHeight="1">
      <c r="A21" s="122">
        <v>12</v>
      </c>
      <c r="B21" s="123">
        <v>44614.975</v>
      </c>
      <c r="C21" s="123">
        <v>44615.38125</v>
      </c>
      <c r="D21" s="153">
        <f>(C21-B21)*24</f>
        <v>9.75</v>
      </c>
      <c r="E21" s="123" t="s">
        <v>75</v>
      </c>
      <c r="F21" s="124">
        <v>107508</v>
      </c>
      <c r="G21" s="125"/>
      <c r="H21" s="123">
        <v>44615.38125</v>
      </c>
      <c r="I21" s="123">
        <v>44615.40416666667</v>
      </c>
      <c r="J21" s="153">
        <f>(I21-H21)*24</f>
        <v>0.5500000000465661</v>
      </c>
      <c r="K21" s="153">
        <f>(I21-H21)*24</f>
        <v>0.5500000000465661</v>
      </c>
      <c r="L21" s="126" t="s">
        <v>80</v>
      </c>
      <c r="M21" s="127" t="s">
        <v>80</v>
      </c>
      <c r="N21" s="127" t="s">
        <v>80</v>
      </c>
      <c r="O21" s="128" t="s">
        <v>17</v>
      </c>
      <c r="P21" s="123"/>
      <c r="Q21" s="129">
        <f t="shared" si="1"/>
        <v>1</v>
      </c>
      <c r="R21" s="129">
        <f t="shared" si="2"/>
      </c>
      <c r="S21" s="129">
        <f t="shared" si="3"/>
      </c>
      <c r="T21" s="130">
        <f t="shared" si="4"/>
        <v>1</v>
      </c>
      <c r="U21" s="117"/>
      <c r="V21" s="117"/>
      <c r="W21" s="117"/>
    </row>
    <row r="22" spans="1:23" s="132" customFormat="1" ht="12.75">
      <c r="A22" s="133">
        <v>13</v>
      </c>
      <c r="B22" s="134">
        <v>44615.40416666667</v>
      </c>
      <c r="C22" s="157">
        <v>44618.38125</v>
      </c>
      <c r="D22" s="183">
        <f>(C22-B22)*24</f>
        <v>71.44999999995343</v>
      </c>
      <c r="E22" s="184" t="s">
        <v>70</v>
      </c>
      <c r="F22" s="185">
        <v>107509</v>
      </c>
      <c r="G22" s="186"/>
      <c r="H22" s="157">
        <v>44618.38125</v>
      </c>
      <c r="I22" s="157">
        <v>44618.4</v>
      </c>
      <c r="J22" s="135">
        <f>(I22-H22)*24</f>
        <v>0.4500000000698492</v>
      </c>
      <c r="K22" s="135">
        <f>(I22-H22)*24</f>
        <v>0.4500000000698492</v>
      </c>
      <c r="L22" s="138" t="s">
        <v>23</v>
      </c>
      <c r="M22" s="139" t="s">
        <v>23</v>
      </c>
      <c r="N22" s="139" t="s">
        <v>23</v>
      </c>
      <c r="O22" s="140" t="s">
        <v>17</v>
      </c>
      <c r="P22" s="134"/>
      <c r="Q22" s="129">
        <f t="shared" si="1"/>
        <v>1</v>
      </c>
      <c r="R22" s="129">
        <f t="shared" si="2"/>
      </c>
      <c r="S22" s="129">
        <f t="shared" si="3"/>
      </c>
      <c r="T22" s="130">
        <f t="shared" si="4"/>
        <v>1</v>
      </c>
      <c r="U22" s="131"/>
      <c r="V22" s="131"/>
      <c r="W22" s="131"/>
    </row>
    <row r="23" spans="1:23" s="118" customFormat="1" ht="15.75" customHeight="1">
      <c r="A23" s="122">
        <v>14</v>
      </c>
      <c r="B23" s="123">
        <v>44618.4</v>
      </c>
      <c r="C23" s="123">
        <v>44620.333333333336</v>
      </c>
      <c r="D23" s="153">
        <f>(C23-B23)*24</f>
        <v>46.40000000002328</v>
      </c>
      <c r="E23" s="123" t="s">
        <v>67</v>
      </c>
      <c r="F23" s="124"/>
      <c r="G23" s="125"/>
      <c r="H23" s="123"/>
      <c r="I23" s="123"/>
      <c r="J23" s="153">
        <f>(I23-H23)*24</f>
        <v>0</v>
      </c>
      <c r="K23" s="153">
        <f>(I23-H23)*24</f>
        <v>0</v>
      </c>
      <c r="L23" s="126"/>
      <c r="M23" s="127"/>
      <c r="N23" s="127"/>
      <c r="O23" s="128" t="s">
        <v>21</v>
      </c>
      <c r="P23" s="123"/>
      <c r="Q23" s="129">
        <f t="shared" si="1"/>
      </c>
      <c r="R23" s="129">
        <f t="shared" si="2"/>
        <v>1</v>
      </c>
      <c r="S23" s="129">
        <f t="shared" si="3"/>
      </c>
      <c r="T23" s="130">
        <f t="shared" si="4"/>
        <v>1</v>
      </c>
      <c r="U23" s="117"/>
      <c r="V23" s="117"/>
      <c r="W23" s="117"/>
    </row>
    <row r="24" spans="1:23" s="152" customFormat="1" ht="12.75">
      <c r="A24" s="141"/>
      <c r="B24" s="142"/>
      <c r="C24" s="142"/>
      <c r="D24" s="143">
        <f>SUM(D20:D23)</f>
        <v>142.3499999998603</v>
      </c>
      <c r="E24" s="144"/>
      <c r="F24" s="145"/>
      <c r="G24" s="146"/>
      <c r="H24" s="147"/>
      <c r="I24" s="147"/>
      <c r="J24" s="148">
        <f>SUM(J20:J23)</f>
        <v>1.6500000001396984</v>
      </c>
      <c r="K24" s="148">
        <f>SUM(K20:K23)</f>
        <v>1.6500000001396984</v>
      </c>
      <c r="L24" s="149"/>
      <c r="M24" s="150"/>
      <c r="N24" s="150"/>
      <c r="O24" s="151"/>
      <c r="P24" s="144"/>
      <c r="Q24" s="129">
        <f t="shared" si="1"/>
      </c>
      <c r="R24" s="129">
        <f t="shared" si="2"/>
      </c>
      <c r="S24" s="129">
        <f t="shared" si="3"/>
      </c>
      <c r="T24" s="130">
        <f t="shared" si="4"/>
        <v>0</v>
      </c>
      <c r="U24" s="30"/>
      <c r="V24" s="30"/>
      <c r="W24" s="30"/>
    </row>
    <row r="25" spans="1:23" s="118" customFormat="1" ht="15.75" customHeight="1">
      <c r="A25" s="122">
        <v>15</v>
      </c>
      <c r="B25" s="123">
        <v>44622.333333333336</v>
      </c>
      <c r="C25" s="123">
        <v>44622.822222222225</v>
      </c>
      <c r="D25" s="153">
        <f aca="true" t="shared" si="5" ref="D25:D31">(C25-B25)*24</f>
        <v>11.733333333337214</v>
      </c>
      <c r="E25" s="123" t="s">
        <v>75</v>
      </c>
      <c r="F25" s="124">
        <v>107512</v>
      </c>
      <c r="G25" s="125"/>
      <c r="H25" s="123">
        <v>44622.822222222225</v>
      </c>
      <c r="I25" s="123">
        <v>44622.84930555556</v>
      </c>
      <c r="J25" s="153">
        <f>(I25-H25)*24</f>
        <v>0.6500000000232831</v>
      </c>
      <c r="K25" s="153">
        <f>(I25-H25)*24</f>
        <v>0.6500000000232831</v>
      </c>
      <c r="L25" s="126" t="s">
        <v>80</v>
      </c>
      <c r="M25" s="127" t="s">
        <v>80</v>
      </c>
      <c r="N25" s="127" t="s">
        <v>80</v>
      </c>
      <c r="O25" s="128" t="s">
        <v>17</v>
      </c>
      <c r="P25" s="123"/>
      <c r="Q25" s="129">
        <f t="shared" si="1"/>
        <v>1</v>
      </c>
      <c r="R25" s="129">
        <f t="shared" si="2"/>
      </c>
      <c r="S25" s="129">
        <f t="shared" si="3"/>
      </c>
      <c r="T25" s="130">
        <f t="shared" si="4"/>
        <v>1</v>
      </c>
      <c r="U25" s="117"/>
      <c r="V25" s="117"/>
      <c r="W25" s="117"/>
    </row>
    <row r="26" spans="1:23" s="132" customFormat="1" ht="12.75">
      <c r="A26" s="133">
        <v>16</v>
      </c>
      <c r="B26" s="134">
        <v>44622.84930555556</v>
      </c>
      <c r="C26" s="157">
        <v>44623.322916666664</v>
      </c>
      <c r="D26" s="135">
        <f t="shared" si="5"/>
        <v>11.366666666523088</v>
      </c>
      <c r="E26" s="134" t="s">
        <v>75</v>
      </c>
      <c r="F26" s="136">
        <v>107513</v>
      </c>
      <c r="G26" s="137"/>
      <c r="H26" s="157">
        <v>44623.322916666664</v>
      </c>
      <c r="I26" s="134">
        <v>44623.38958333333</v>
      </c>
      <c r="J26" s="135">
        <f>(I26-H26)*24</f>
        <v>1.599999999976717</v>
      </c>
      <c r="K26" s="135">
        <f>(I26-H26)*24</f>
        <v>1.599999999976717</v>
      </c>
      <c r="L26" s="138" t="s">
        <v>71</v>
      </c>
      <c r="M26" s="139" t="s">
        <v>71</v>
      </c>
      <c r="N26" s="139" t="s">
        <v>71</v>
      </c>
      <c r="O26" s="140" t="s">
        <v>17</v>
      </c>
      <c r="P26" s="134"/>
      <c r="Q26" s="129">
        <f t="shared" si="1"/>
        <v>1</v>
      </c>
      <c r="R26" s="129">
        <f t="shared" si="2"/>
      </c>
      <c r="S26" s="129">
        <f t="shared" si="3"/>
      </c>
      <c r="T26" s="130">
        <f aca="true" t="shared" si="6" ref="T26:T35">SUM(Q26:S26)</f>
        <v>1</v>
      </c>
      <c r="U26" s="131"/>
      <c r="V26" s="131"/>
      <c r="W26" s="131"/>
    </row>
    <row r="27" spans="1:23" s="118" customFormat="1" ht="15.75" customHeight="1">
      <c r="A27" s="122">
        <v>17</v>
      </c>
      <c r="B27" s="123">
        <v>44623.38958333333</v>
      </c>
      <c r="C27" s="123">
        <v>44623.64791666667</v>
      </c>
      <c r="D27" s="153">
        <f t="shared" si="5"/>
        <v>6.200000000128057</v>
      </c>
      <c r="E27" s="123" t="s">
        <v>82</v>
      </c>
      <c r="F27" s="124">
        <v>107514</v>
      </c>
      <c r="G27" s="125"/>
      <c r="H27" s="123">
        <v>44623.64791666667</v>
      </c>
      <c r="I27" s="123">
        <v>44623.88402777778</v>
      </c>
      <c r="J27" s="153">
        <f>(I27-H27)*24</f>
        <v>5.666666666627862</v>
      </c>
      <c r="K27" s="153">
        <f>(I27-H27)*24</f>
        <v>5.666666666627862</v>
      </c>
      <c r="L27" s="126" t="s">
        <v>22</v>
      </c>
      <c r="M27" s="127" t="s">
        <v>22</v>
      </c>
      <c r="N27" s="127" t="s">
        <v>22</v>
      </c>
      <c r="O27" s="128" t="s">
        <v>17</v>
      </c>
      <c r="P27" s="123"/>
      <c r="Q27" s="129">
        <f t="shared" si="1"/>
        <v>1</v>
      </c>
      <c r="R27" s="129">
        <f t="shared" si="2"/>
      </c>
      <c r="S27" s="129">
        <f t="shared" si="3"/>
      </c>
      <c r="T27" s="130">
        <f t="shared" si="6"/>
        <v>1</v>
      </c>
      <c r="U27" s="117"/>
      <c r="V27" s="117"/>
      <c r="W27" s="117"/>
    </row>
    <row r="28" spans="1:23" s="132" customFormat="1" ht="12.75">
      <c r="A28" s="133">
        <v>18</v>
      </c>
      <c r="B28" s="134">
        <v>44623.88402777778</v>
      </c>
      <c r="C28" s="157">
        <v>44624.322916666664</v>
      </c>
      <c r="D28" s="183">
        <f t="shared" si="5"/>
        <v>10.533333333267365</v>
      </c>
      <c r="E28" s="184" t="s">
        <v>83</v>
      </c>
      <c r="F28" s="185">
        <v>107515</v>
      </c>
      <c r="G28" s="186"/>
      <c r="H28" s="157">
        <v>44624.322916666664</v>
      </c>
      <c r="I28" s="157">
        <v>44624.37708333333</v>
      </c>
      <c r="J28" s="135">
        <f>(I28-H28)*24</f>
        <v>1.3000000000465661</v>
      </c>
      <c r="K28" s="135">
        <f>(I28-H28)*24</f>
        <v>1.3000000000465661</v>
      </c>
      <c r="L28" s="138" t="s">
        <v>80</v>
      </c>
      <c r="M28" s="139" t="s">
        <v>80</v>
      </c>
      <c r="N28" s="139" t="s">
        <v>80</v>
      </c>
      <c r="O28" s="140" t="s">
        <v>17</v>
      </c>
      <c r="P28" s="134"/>
      <c r="Q28" s="129">
        <f t="shared" si="1"/>
        <v>1</v>
      </c>
      <c r="R28" s="129">
        <f t="shared" si="2"/>
      </c>
      <c r="S28" s="129">
        <f t="shared" si="3"/>
      </c>
      <c r="T28" s="130">
        <f t="shared" si="6"/>
        <v>1</v>
      </c>
      <c r="U28" s="131"/>
      <c r="V28" s="131"/>
      <c r="W28" s="131"/>
    </row>
    <row r="29" spans="1:23" s="118" customFormat="1" ht="15.75" customHeight="1">
      <c r="A29" s="122">
        <v>19</v>
      </c>
      <c r="B29" s="123">
        <v>44624.37708333333</v>
      </c>
      <c r="C29" s="123">
        <v>44627.01111111111</v>
      </c>
      <c r="D29" s="153">
        <f t="shared" si="5"/>
        <v>63.21666666667443</v>
      </c>
      <c r="E29" s="123" t="s">
        <v>86</v>
      </c>
      <c r="F29" s="124">
        <v>107517</v>
      </c>
      <c r="G29" s="125"/>
      <c r="H29" s="123">
        <v>44627.01111111111</v>
      </c>
      <c r="I29" s="123">
        <v>44627.333333333336</v>
      </c>
      <c r="J29" s="153">
        <f>(I29-H29)*24</f>
        <v>7.7333333333954215</v>
      </c>
      <c r="K29" s="153"/>
      <c r="L29" s="126"/>
      <c r="M29" s="127"/>
      <c r="N29" s="127"/>
      <c r="O29" s="128"/>
      <c r="P29" s="123"/>
      <c r="Q29" s="129">
        <f t="shared" si="1"/>
      </c>
      <c r="R29" s="129">
        <f t="shared" si="2"/>
      </c>
      <c r="S29" s="129">
        <f t="shared" si="3"/>
      </c>
      <c r="T29" s="130">
        <f t="shared" si="6"/>
        <v>0</v>
      </c>
      <c r="U29" s="117"/>
      <c r="V29" s="117"/>
      <c r="W29" s="117"/>
    </row>
    <row r="30" spans="1:23" s="132" customFormat="1" ht="12.75">
      <c r="A30" s="133"/>
      <c r="B30" s="134"/>
      <c r="C30" s="182"/>
      <c r="D30" s="135">
        <f t="shared" si="5"/>
        <v>0</v>
      </c>
      <c r="E30" s="134"/>
      <c r="F30" s="136"/>
      <c r="G30" s="137"/>
      <c r="H30" s="187">
        <v>44627.01111111111</v>
      </c>
      <c r="I30" s="187">
        <v>44627.03194444445</v>
      </c>
      <c r="J30" s="178"/>
      <c r="K30" s="178">
        <f>(I30-H30)*24</f>
        <v>0.5000000000582077</v>
      </c>
      <c r="L30" s="179" t="s">
        <v>71</v>
      </c>
      <c r="M30" s="180" t="s">
        <v>71</v>
      </c>
      <c r="N30" s="180" t="s">
        <v>71</v>
      </c>
      <c r="O30" s="181" t="s">
        <v>17</v>
      </c>
      <c r="P30" s="177" t="s">
        <v>84</v>
      </c>
      <c r="Q30" s="129">
        <f t="shared" si="1"/>
        <v>1</v>
      </c>
      <c r="R30" s="129">
        <f t="shared" si="2"/>
      </c>
      <c r="S30" s="129">
        <f t="shared" si="3"/>
      </c>
      <c r="T30" s="130">
        <f t="shared" si="6"/>
        <v>1</v>
      </c>
      <c r="U30" s="131"/>
      <c r="V30" s="131"/>
      <c r="W30" s="131"/>
    </row>
    <row r="31" spans="1:23" s="132" customFormat="1" ht="12.75">
      <c r="A31" s="133"/>
      <c r="B31" s="134"/>
      <c r="C31" s="182"/>
      <c r="D31" s="135">
        <f t="shared" si="5"/>
        <v>0</v>
      </c>
      <c r="E31" s="134"/>
      <c r="F31" s="136"/>
      <c r="G31" s="137"/>
      <c r="H31" s="188">
        <v>44627.03194444445</v>
      </c>
      <c r="I31" s="188">
        <v>44627.333333333336</v>
      </c>
      <c r="J31" s="189"/>
      <c r="K31" s="189">
        <f>(I31-H31)*24</f>
        <v>7.233333333337214</v>
      </c>
      <c r="L31" s="190" t="s">
        <v>24</v>
      </c>
      <c r="M31" s="191" t="s">
        <v>24</v>
      </c>
      <c r="N31" s="191" t="s">
        <v>24</v>
      </c>
      <c r="O31" s="192" t="s">
        <v>66</v>
      </c>
      <c r="P31" s="193" t="s">
        <v>85</v>
      </c>
      <c r="Q31" s="129">
        <f t="shared" si="1"/>
      </c>
      <c r="R31" s="129">
        <f t="shared" si="2"/>
      </c>
      <c r="S31" s="129">
        <f t="shared" si="3"/>
        <v>1</v>
      </c>
      <c r="T31" s="130">
        <f t="shared" si="6"/>
        <v>1</v>
      </c>
      <c r="U31" s="131"/>
      <c r="V31" s="131"/>
      <c r="W31" s="131"/>
    </row>
    <row r="32" spans="1:23" s="152" customFormat="1" ht="12.75">
      <c r="A32" s="141"/>
      <c r="B32" s="142"/>
      <c r="C32" s="142"/>
      <c r="D32" s="143">
        <f>SUM(D25:D31)</f>
        <v>103.04999999993015</v>
      </c>
      <c r="E32" s="144"/>
      <c r="F32" s="145"/>
      <c r="G32" s="146"/>
      <c r="H32" s="147"/>
      <c r="I32" s="147"/>
      <c r="J32" s="148">
        <f>SUM(J25:J29)</f>
        <v>16.95000000006985</v>
      </c>
      <c r="K32" s="148">
        <f>SUM(K25:K31)</f>
        <v>16.95000000006985</v>
      </c>
      <c r="L32" s="149"/>
      <c r="M32" s="150"/>
      <c r="N32" s="150"/>
      <c r="O32" s="151"/>
      <c r="P32" s="144"/>
      <c r="Q32" s="129">
        <f t="shared" si="1"/>
      </c>
      <c r="R32" s="129">
        <f t="shared" si="2"/>
      </c>
      <c r="S32" s="129">
        <f t="shared" si="3"/>
      </c>
      <c r="T32" s="130">
        <f t="shared" si="6"/>
        <v>0</v>
      </c>
      <c r="U32" s="30"/>
      <c r="V32" s="30"/>
      <c r="W32" s="30"/>
    </row>
    <row r="33" spans="1:23" s="118" customFormat="1" ht="15.75" customHeight="1">
      <c r="A33" s="133">
        <v>20</v>
      </c>
      <c r="B33" s="134">
        <v>44628.333333333336</v>
      </c>
      <c r="C33" s="134">
        <v>44629.501388888886</v>
      </c>
      <c r="D33" s="135">
        <f>(C33-B33)*24</f>
        <v>28.033333333209157</v>
      </c>
      <c r="E33" s="134" t="s">
        <v>87</v>
      </c>
      <c r="F33" s="136">
        <v>107518</v>
      </c>
      <c r="G33" s="137"/>
      <c r="H33" s="134">
        <v>44629.501388888886</v>
      </c>
      <c r="I33" s="134">
        <v>44629.575694444444</v>
      </c>
      <c r="J33" s="135">
        <f>(I33-H33)*24</f>
        <v>1.78333333338378</v>
      </c>
      <c r="K33" s="135">
        <f>(I33-H33)*24</f>
        <v>1.78333333338378</v>
      </c>
      <c r="L33" s="138" t="s">
        <v>65</v>
      </c>
      <c r="M33" s="139" t="s">
        <v>65</v>
      </c>
      <c r="N33" s="139" t="s">
        <v>65</v>
      </c>
      <c r="O33" s="140" t="s">
        <v>17</v>
      </c>
      <c r="P33" s="134"/>
      <c r="Q33" s="129">
        <f t="shared" si="1"/>
        <v>1</v>
      </c>
      <c r="R33" s="129">
        <f t="shared" si="2"/>
      </c>
      <c r="S33" s="129">
        <f t="shared" si="3"/>
      </c>
      <c r="T33" s="130">
        <f t="shared" si="6"/>
        <v>1</v>
      </c>
      <c r="U33" s="117"/>
      <c r="V33" s="117"/>
      <c r="W33" s="117"/>
    </row>
    <row r="34" spans="1:23" s="118" customFormat="1" ht="15.75" customHeight="1">
      <c r="A34" s="122">
        <v>21</v>
      </c>
      <c r="B34" s="123">
        <v>44629.575694444444</v>
      </c>
      <c r="C34" s="123">
        <v>44634.333333333336</v>
      </c>
      <c r="D34" s="153">
        <f>(C34-B34)*24-1</f>
        <v>113.18333333340706</v>
      </c>
      <c r="E34" s="123" t="s">
        <v>67</v>
      </c>
      <c r="F34" s="124"/>
      <c r="G34" s="125"/>
      <c r="H34" s="123"/>
      <c r="I34" s="123"/>
      <c r="J34" s="153">
        <f>(I34-H34)*24</f>
        <v>0</v>
      </c>
      <c r="K34" s="153">
        <f>(I34-H34)*24</f>
        <v>0</v>
      </c>
      <c r="L34" s="126"/>
      <c r="M34" s="127"/>
      <c r="N34" s="127"/>
      <c r="O34" s="128" t="s">
        <v>21</v>
      </c>
      <c r="P34" s="123"/>
      <c r="Q34" s="129">
        <f t="shared" si="1"/>
      </c>
      <c r="R34" s="129">
        <f t="shared" si="2"/>
        <v>1</v>
      </c>
      <c r="S34" s="129">
        <f t="shared" si="3"/>
      </c>
      <c r="T34" s="130">
        <f t="shared" si="6"/>
        <v>1</v>
      </c>
      <c r="U34" s="117"/>
      <c r="V34" s="117"/>
      <c r="W34" s="117"/>
    </row>
    <row r="35" spans="1:23" s="152" customFormat="1" ht="12.75">
      <c r="A35" s="141"/>
      <c r="B35" s="142"/>
      <c r="C35" s="142"/>
      <c r="D35" s="143">
        <f>SUM(D33:D34)</f>
        <v>141.21666666661622</v>
      </c>
      <c r="E35" s="144"/>
      <c r="F35" s="145"/>
      <c r="G35" s="146"/>
      <c r="H35" s="147"/>
      <c r="I35" s="147"/>
      <c r="J35" s="148">
        <f>SUM(J33:J34)</f>
        <v>1.78333333338378</v>
      </c>
      <c r="K35" s="148">
        <f>SUM(K33:K34)</f>
        <v>1.78333333338378</v>
      </c>
      <c r="L35" s="149"/>
      <c r="M35" s="150"/>
      <c r="N35" s="150"/>
      <c r="O35" s="151"/>
      <c r="P35" s="144"/>
      <c r="Q35" s="129">
        <f t="shared" si="1"/>
      </c>
      <c r="R35" s="129">
        <f t="shared" si="2"/>
      </c>
      <c r="S35" s="129">
        <f t="shared" si="3"/>
      </c>
      <c r="T35" s="130">
        <f t="shared" si="6"/>
        <v>0</v>
      </c>
      <c r="U35" s="30"/>
      <c r="V35" s="30"/>
      <c r="W35" s="30"/>
    </row>
    <row r="36" spans="1:23" s="118" customFormat="1" ht="15.75" customHeight="1">
      <c r="A36" s="122">
        <v>22</v>
      </c>
      <c r="B36" s="123">
        <v>44636.333333333336</v>
      </c>
      <c r="C36" s="123">
        <v>44641.333333333336</v>
      </c>
      <c r="D36" s="153">
        <f>(C36-B36)*24</f>
        <v>120</v>
      </c>
      <c r="E36" s="123" t="s">
        <v>67</v>
      </c>
      <c r="F36" s="124"/>
      <c r="G36" s="125"/>
      <c r="H36" s="123"/>
      <c r="I36" s="123"/>
      <c r="J36" s="153">
        <f>(I36-H36)*24</f>
        <v>0</v>
      </c>
      <c r="K36" s="153">
        <f>(I36-H36)*24</f>
        <v>0</v>
      </c>
      <c r="L36" s="126"/>
      <c r="M36" s="127"/>
      <c r="N36" s="127"/>
      <c r="O36" s="128" t="s">
        <v>21</v>
      </c>
      <c r="P36" s="123"/>
      <c r="Q36" s="129">
        <f t="shared" si="1"/>
      </c>
      <c r="R36" s="129">
        <f t="shared" si="2"/>
        <v>1</v>
      </c>
      <c r="S36" s="129">
        <f t="shared" si="3"/>
      </c>
      <c r="T36" s="130">
        <f aca="true" t="shared" si="7" ref="T36:T44">SUM(Q36:S36)</f>
        <v>1</v>
      </c>
      <c r="U36" s="117"/>
      <c r="V36" s="117"/>
      <c r="W36" s="117"/>
    </row>
    <row r="37" spans="1:23" s="152" customFormat="1" ht="12.75">
      <c r="A37" s="141"/>
      <c r="B37" s="142"/>
      <c r="C37" s="142"/>
      <c r="D37" s="143">
        <f>SUM(D36:D36)</f>
        <v>120</v>
      </c>
      <c r="E37" s="144"/>
      <c r="F37" s="145"/>
      <c r="G37" s="146"/>
      <c r="H37" s="147"/>
      <c r="I37" s="147"/>
      <c r="J37" s="148">
        <f>SUM(J36:J36)</f>
        <v>0</v>
      </c>
      <c r="K37" s="148">
        <f>SUM(K36:K36)</f>
        <v>0</v>
      </c>
      <c r="L37" s="149"/>
      <c r="M37" s="150"/>
      <c r="N37" s="150"/>
      <c r="O37" s="151"/>
      <c r="P37" s="144"/>
      <c r="Q37" s="129">
        <f t="shared" si="1"/>
      </c>
      <c r="R37" s="129">
        <f t="shared" si="2"/>
      </c>
      <c r="S37" s="129">
        <f t="shared" si="3"/>
      </c>
      <c r="T37" s="130">
        <f t="shared" si="7"/>
        <v>0</v>
      </c>
      <c r="U37" s="30"/>
      <c r="V37" s="30"/>
      <c r="W37" s="30"/>
    </row>
    <row r="38" spans="1:23" s="118" customFormat="1" ht="15.75" customHeight="1">
      <c r="A38" s="122">
        <v>23</v>
      </c>
      <c r="B38" s="123">
        <v>44642.333333333336</v>
      </c>
      <c r="C38" s="123">
        <v>44643.063888888886</v>
      </c>
      <c r="D38" s="153">
        <f>(C38-B38)*24</f>
        <v>17.533333333209157</v>
      </c>
      <c r="E38" s="123" t="s">
        <v>88</v>
      </c>
      <c r="F38" s="124">
        <v>107522</v>
      </c>
      <c r="G38" s="125"/>
      <c r="H38" s="123">
        <v>44643.063888888886</v>
      </c>
      <c r="I38" s="123">
        <v>44643.12430555555</v>
      </c>
      <c r="J38" s="153">
        <f>(I38-H38)*24</f>
        <v>1.4500000000116415</v>
      </c>
      <c r="K38" s="153">
        <f>(I38-H38)*24</f>
        <v>1.4500000000116415</v>
      </c>
      <c r="L38" s="126" t="s">
        <v>89</v>
      </c>
      <c r="M38" s="127" t="s">
        <v>89</v>
      </c>
      <c r="N38" s="127" t="s">
        <v>89</v>
      </c>
      <c r="O38" s="128" t="s">
        <v>17</v>
      </c>
      <c r="P38" s="123"/>
      <c r="Q38" s="129">
        <f t="shared" si="1"/>
        <v>1</v>
      </c>
      <c r="R38" s="129">
        <f t="shared" si="2"/>
      </c>
      <c r="S38" s="129">
        <f t="shared" si="3"/>
      </c>
      <c r="T38" s="130">
        <f t="shared" si="7"/>
        <v>1</v>
      </c>
      <c r="U38" s="117"/>
      <c r="V38" s="117"/>
      <c r="W38" s="117"/>
    </row>
    <row r="39" spans="1:23" s="132" customFormat="1" ht="12.75">
      <c r="A39" s="133">
        <v>24</v>
      </c>
      <c r="B39" s="134">
        <v>44643.12430555555</v>
      </c>
      <c r="C39" s="157">
        <v>44644.45625</v>
      </c>
      <c r="D39" s="135">
        <f>(C39-B39)*24</f>
        <v>31.966666666790843</v>
      </c>
      <c r="E39" s="134" t="s">
        <v>90</v>
      </c>
      <c r="F39" s="136">
        <v>107524</v>
      </c>
      <c r="G39" s="137"/>
      <c r="H39" s="157">
        <v>44644.45625</v>
      </c>
      <c r="I39" s="134">
        <v>44644.493055555555</v>
      </c>
      <c r="J39" s="135">
        <f>(I39-H39)*24</f>
        <v>0.8833333332440816</v>
      </c>
      <c r="K39" s="135">
        <f>(I39-H39)*24</f>
        <v>0.8833333332440816</v>
      </c>
      <c r="L39" s="138" t="s">
        <v>65</v>
      </c>
      <c r="M39" s="139" t="s">
        <v>65</v>
      </c>
      <c r="N39" s="139" t="s">
        <v>65</v>
      </c>
      <c r="O39" s="140" t="s">
        <v>17</v>
      </c>
      <c r="P39" s="134"/>
      <c r="Q39" s="129">
        <f t="shared" si="1"/>
        <v>1</v>
      </c>
      <c r="R39" s="129">
        <f t="shared" si="2"/>
      </c>
      <c r="S39" s="129">
        <f t="shared" si="3"/>
      </c>
      <c r="T39" s="130">
        <f t="shared" si="7"/>
        <v>1</v>
      </c>
      <c r="U39" s="131"/>
      <c r="V39" s="131"/>
      <c r="W39" s="131"/>
    </row>
    <row r="40" spans="1:23" s="118" customFormat="1" ht="15.75" customHeight="1">
      <c r="A40" s="122">
        <v>25</v>
      </c>
      <c r="B40" s="123">
        <v>44644.493055555555</v>
      </c>
      <c r="C40" s="123">
        <v>44646.10625</v>
      </c>
      <c r="D40" s="153">
        <f>(C40-B40)*24</f>
        <v>38.71666666661622</v>
      </c>
      <c r="E40" s="123" t="s">
        <v>91</v>
      </c>
      <c r="F40" s="124">
        <v>107525</v>
      </c>
      <c r="G40" s="125"/>
      <c r="H40" s="123">
        <v>44646.10625</v>
      </c>
      <c r="I40" s="123">
        <v>44646.23263888889</v>
      </c>
      <c r="J40" s="153">
        <f>(I40-H40)*24</f>
        <v>3.0333333334419876</v>
      </c>
      <c r="K40" s="153">
        <f>(I40-H40)*24</f>
        <v>3.0333333334419876</v>
      </c>
      <c r="L40" s="126" t="s">
        <v>22</v>
      </c>
      <c r="M40" s="127" t="s">
        <v>22</v>
      </c>
      <c r="N40" s="127" t="s">
        <v>22</v>
      </c>
      <c r="O40" s="128" t="s">
        <v>17</v>
      </c>
      <c r="P40" s="123"/>
      <c r="Q40" s="129">
        <f t="shared" si="1"/>
        <v>1</v>
      </c>
      <c r="R40" s="129">
        <f t="shared" si="2"/>
      </c>
      <c r="S40" s="129">
        <f t="shared" si="3"/>
      </c>
      <c r="T40" s="130">
        <f t="shared" si="7"/>
        <v>1</v>
      </c>
      <c r="U40" s="117"/>
      <c r="V40" s="117"/>
      <c r="W40" s="117"/>
    </row>
    <row r="41" spans="1:23" s="132" customFormat="1" ht="12.75">
      <c r="A41" s="133">
        <v>26</v>
      </c>
      <c r="B41" s="134">
        <v>44646.23263888889</v>
      </c>
      <c r="C41" s="157">
        <v>44646.70972222222</v>
      </c>
      <c r="D41" s="183">
        <f>(C41-B41)*24</f>
        <v>11.449999999953434</v>
      </c>
      <c r="E41" s="184" t="s">
        <v>92</v>
      </c>
      <c r="F41" s="185">
        <v>107526</v>
      </c>
      <c r="G41" s="186"/>
      <c r="H41" s="157">
        <v>44646.70972222222</v>
      </c>
      <c r="I41" s="157">
        <v>44646.74166666667</v>
      </c>
      <c r="J41" s="135">
        <f>(I41-H41)*24</f>
        <v>0.7666666667209938</v>
      </c>
      <c r="K41" s="135">
        <f>(I41-H41)*24</f>
        <v>0.7666666667209938</v>
      </c>
      <c r="L41" s="138" t="s">
        <v>80</v>
      </c>
      <c r="M41" s="139" t="s">
        <v>80</v>
      </c>
      <c r="N41" s="139" t="s">
        <v>80</v>
      </c>
      <c r="O41" s="140" t="s">
        <v>17</v>
      </c>
      <c r="P41" s="134"/>
      <c r="Q41" s="129">
        <f t="shared" si="1"/>
        <v>1</v>
      </c>
      <c r="R41" s="129">
        <f t="shared" si="2"/>
      </c>
      <c r="S41" s="129">
        <f t="shared" si="3"/>
      </c>
      <c r="T41" s="130">
        <f t="shared" si="7"/>
        <v>1</v>
      </c>
      <c r="U41" s="131"/>
      <c r="V41" s="131"/>
      <c r="W41" s="131"/>
    </row>
    <row r="42" spans="1:23" s="118" customFormat="1" ht="15.75" customHeight="1">
      <c r="A42" s="122">
        <v>27</v>
      </c>
      <c r="B42" s="123">
        <v>44646.74166666667</v>
      </c>
      <c r="C42" s="123">
        <v>44648.333333333336</v>
      </c>
      <c r="D42" s="153">
        <f>(C42-B42)*24</f>
        <v>38.20000000001164</v>
      </c>
      <c r="E42" s="123" t="s">
        <v>67</v>
      </c>
      <c r="F42" s="124"/>
      <c r="G42" s="125"/>
      <c r="H42" s="123"/>
      <c r="I42" s="123"/>
      <c r="J42" s="153">
        <f>(I42-H42)*24</f>
        <v>0</v>
      </c>
      <c r="K42" s="153">
        <f>(I42-H42)*24</f>
        <v>0</v>
      </c>
      <c r="L42" s="126"/>
      <c r="M42" s="127"/>
      <c r="N42" s="127"/>
      <c r="O42" s="128" t="s">
        <v>21</v>
      </c>
      <c r="P42" s="123"/>
      <c r="Q42" s="129">
        <f t="shared" si="1"/>
      </c>
      <c r="R42" s="129">
        <f t="shared" si="2"/>
        <v>1</v>
      </c>
      <c r="S42" s="129">
        <f t="shared" si="3"/>
      </c>
      <c r="T42" s="130">
        <f t="shared" si="7"/>
        <v>1</v>
      </c>
      <c r="U42" s="117"/>
      <c r="V42" s="117"/>
      <c r="W42" s="117"/>
    </row>
    <row r="43" spans="1:23" s="152" customFormat="1" ht="12.75">
      <c r="A43" s="141"/>
      <c r="B43" s="142"/>
      <c r="C43" s="142"/>
      <c r="D43" s="143">
        <f>SUM(D38:D42)</f>
        <v>137.8666666665813</v>
      </c>
      <c r="E43" s="144"/>
      <c r="F43" s="145"/>
      <c r="G43" s="146"/>
      <c r="H43" s="147"/>
      <c r="I43" s="147"/>
      <c r="J43" s="148">
        <f>SUM(J38:J42)</f>
        <v>6.133333333418705</v>
      </c>
      <c r="K43" s="148">
        <f>SUM(K38:K42)</f>
        <v>6.133333333418705</v>
      </c>
      <c r="L43" s="149"/>
      <c r="M43" s="150"/>
      <c r="N43" s="150"/>
      <c r="O43" s="151"/>
      <c r="P43" s="144"/>
      <c r="Q43" s="129">
        <f t="shared" si="1"/>
      </c>
      <c r="R43" s="129">
        <f t="shared" si="2"/>
      </c>
      <c r="S43" s="129">
        <f t="shared" si="3"/>
      </c>
      <c r="T43" s="130">
        <f t="shared" si="7"/>
        <v>0</v>
      </c>
      <c r="U43" s="30"/>
      <c r="V43" s="30"/>
      <c r="W43" s="30"/>
    </row>
    <row r="44" spans="1:23" s="132" customFormat="1" ht="12.75">
      <c r="A44" s="133">
        <v>28</v>
      </c>
      <c r="B44" s="134">
        <v>44649.333333333336</v>
      </c>
      <c r="C44" s="157">
        <v>44650.854166666664</v>
      </c>
      <c r="D44" s="135">
        <f aca="true" t="shared" si="8" ref="D44:D49">(C44-B44)*24</f>
        <v>36.499999999883585</v>
      </c>
      <c r="E44" s="134" t="s">
        <v>93</v>
      </c>
      <c r="F44" s="136">
        <v>107528</v>
      </c>
      <c r="G44" s="137"/>
      <c r="H44" s="157">
        <v>44650.854166666664</v>
      </c>
      <c r="I44" s="134">
        <v>44650.87291666667</v>
      </c>
      <c r="J44" s="135">
        <f aca="true" t="shared" si="9" ref="J44:J49">(I44-H44)*24</f>
        <v>0.4500000000698492</v>
      </c>
      <c r="K44" s="135">
        <f aca="true" t="shared" si="10" ref="K44:K49">(I44-H44)*24</f>
        <v>0.4500000000698492</v>
      </c>
      <c r="L44" s="138" t="s">
        <v>94</v>
      </c>
      <c r="M44" s="139" t="s">
        <v>94</v>
      </c>
      <c r="N44" s="139" t="s">
        <v>94</v>
      </c>
      <c r="O44" s="140" t="s">
        <v>17</v>
      </c>
      <c r="P44" s="134"/>
      <c r="Q44" s="129">
        <f t="shared" si="1"/>
        <v>1</v>
      </c>
      <c r="R44" s="129">
        <f t="shared" si="2"/>
      </c>
      <c r="S44" s="129">
        <f t="shared" si="3"/>
      </c>
      <c r="T44" s="130">
        <f t="shared" si="7"/>
        <v>1</v>
      </c>
      <c r="U44" s="131"/>
      <c r="V44" s="131"/>
      <c r="W44" s="131"/>
    </row>
    <row r="45" spans="1:23" s="118" customFormat="1" ht="15.75" customHeight="1">
      <c r="A45" s="122">
        <v>29</v>
      </c>
      <c r="B45" s="123">
        <v>44650.87291666667</v>
      </c>
      <c r="C45" s="123">
        <v>44651.19930555556</v>
      </c>
      <c r="D45" s="153">
        <f t="shared" si="8"/>
        <v>7.833333333372138</v>
      </c>
      <c r="E45" s="123" t="s">
        <v>95</v>
      </c>
      <c r="F45" s="124">
        <v>107529</v>
      </c>
      <c r="G45" s="125"/>
      <c r="H45" s="123">
        <v>44651.19930555556</v>
      </c>
      <c r="I45" s="123">
        <v>44651.22083333333</v>
      </c>
      <c r="J45" s="153">
        <f t="shared" si="9"/>
        <v>0.5166666666045785</v>
      </c>
      <c r="K45" s="153">
        <f t="shared" si="10"/>
        <v>0.5166666666045785</v>
      </c>
      <c r="L45" s="126" t="s">
        <v>22</v>
      </c>
      <c r="M45" s="127" t="s">
        <v>22</v>
      </c>
      <c r="N45" s="127" t="s">
        <v>22</v>
      </c>
      <c r="O45" s="128" t="s">
        <v>17</v>
      </c>
      <c r="P45" s="123"/>
      <c r="Q45" s="129">
        <f t="shared" si="1"/>
        <v>1</v>
      </c>
      <c r="R45" s="129">
        <f t="shared" si="2"/>
      </c>
      <c r="S45" s="129">
        <f t="shared" si="3"/>
      </c>
      <c r="T45" s="130">
        <f aca="true" t="shared" si="11" ref="T45:T59">SUM(Q45:S45)</f>
        <v>1</v>
      </c>
      <c r="U45" s="117"/>
      <c r="V45" s="117"/>
      <c r="W45" s="117"/>
    </row>
    <row r="46" spans="1:23" s="132" customFormat="1" ht="12.75">
      <c r="A46" s="133">
        <v>30</v>
      </c>
      <c r="B46" s="134">
        <v>44651.22083333333</v>
      </c>
      <c r="C46" s="157">
        <v>44651.26736111111</v>
      </c>
      <c r="D46" s="135">
        <f t="shared" si="8"/>
        <v>1.116666666639503</v>
      </c>
      <c r="E46" s="134" t="s">
        <v>96</v>
      </c>
      <c r="F46" s="136">
        <v>107530</v>
      </c>
      <c r="G46" s="137"/>
      <c r="H46" s="157">
        <v>44651.26736111111</v>
      </c>
      <c r="I46" s="134">
        <v>44651.322222222225</v>
      </c>
      <c r="J46" s="135">
        <f t="shared" si="9"/>
        <v>1.31666666676756</v>
      </c>
      <c r="K46" s="135">
        <f t="shared" si="10"/>
        <v>1.31666666676756</v>
      </c>
      <c r="L46" s="138" t="s">
        <v>22</v>
      </c>
      <c r="M46" s="139" t="s">
        <v>22</v>
      </c>
      <c r="N46" s="139" t="s">
        <v>22</v>
      </c>
      <c r="O46" s="140" t="s">
        <v>17</v>
      </c>
      <c r="P46" s="134"/>
      <c r="Q46" s="129">
        <f t="shared" si="1"/>
        <v>1</v>
      </c>
      <c r="R46" s="129">
        <f t="shared" si="2"/>
      </c>
      <c r="S46" s="129">
        <f t="shared" si="3"/>
      </c>
      <c r="T46" s="130">
        <f t="shared" si="11"/>
        <v>1</v>
      </c>
      <c r="U46" s="131"/>
      <c r="V46" s="131"/>
      <c r="W46" s="131"/>
    </row>
    <row r="47" spans="1:23" s="118" customFormat="1" ht="15.75" customHeight="1">
      <c r="A47" s="122">
        <v>31</v>
      </c>
      <c r="B47" s="123">
        <v>44651.322222222225</v>
      </c>
      <c r="C47" s="123">
        <v>44653.60902777778</v>
      </c>
      <c r="D47" s="153">
        <f t="shared" si="8"/>
        <v>54.88333333324408</v>
      </c>
      <c r="E47" s="123" t="s">
        <v>97</v>
      </c>
      <c r="F47" s="124">
        <v>107531</v>
      </c>
      <c r="G47" s="125"/>
      <c r="H47" s="123">
        <v>44653.60902777778</v>
      </c>
      <c r="I47" s="123">
        <v>44653.62430555555</v>
      </c>
      <c r="J47" s="153">
        <f t="shared" si="9"/>
        <v>0.3666666666395031</v>
      </c>
      <c r="K47" s="153">
        <f t="shared" si="10"/>
        <v>0.3666666666395031</v>
      </c>
      <c r="L47" s="126" t="s">
        <v>23</v>
      </c>
      <c r="M47" s="127" t="s">
        <v>23</v>
      </c>
      <c r="N47" s="127" t="s">
        <v>23</v>
      </c>
      <c r="O47" s="128" t="s">
        <v>17</v>
      </c>
      <c r="P47" s="123"/>
      <c r="Q47" s="129">
        <f t="shared" si="1"/>
        <v>1</v>
      </c>
      <c r="R47" s="129">
        <f t="shared" si="2"/>
      </c>
      <c r="S47" s="129">
        <f t="shared" si="3"/>
      </c>
      <c r="T47" s="130">
        <f t="shared" si="11"/>
        <v>1</v>
      </c>
      <c r="U47" s="117"/>
      <c r="V47" s="117"/>
      <c r="W47" s="117"/>
    </row>
    <row r="48" spans="1:23" s="132" customFormat="1" ht="12.75">
      <c r="A48" s="133">
        <v>32</v>
      </c>
      <c r="B48" s="134">
        <v>44653.62430555555</v>
      </c>
      <c r="C48" s="157">
        <v>44654.94513888889</v>
      </c>
      <c r="D48" s="183">
        <f t="shared" si="8"/>
        <v>31.700000000128057</v>
      </c>
      <c r="E48" s="184" t="s">
        <v>98</v>
      </c>
      <c r="F48" s="185">
        <v>107532</v>
      </c>
      <c r="G48" s="186"/>
      <c r="H48" s="157">
        <v>44654.94513888889</v>
      </c>
      <c r="I48" s="157">
        <v>44655.271527777775</v>
      </c>
      <c r="J48" s="135">
        <f t="shared" si="9"/>
        <v>7.8333333331975155</v>
      </c>
      <c r="K48" s="135">
        <f t="shared" si="10"/>
        <v>7.8333333331975155</v>
      </c>
      <c r="L48" s="138" t="s">
        <v>71</v>
      </c>
      <c r="M48" s="139" t="s">
        <v>71</v>
      </c>
      <c r="N48" s="139" t="s">
        <v>71</v>
      </c>
      <c r="O48" s="140" t="s">
        <v>17</v>
      </c>
      <c r="P48" s="134"/>
      <c r="Q48" s="129">
        <f t="shared" si="1"/>
        <v>1</v>
      </c>
      <c r="R48" s="129">
        <f t="shared" si="2"/>
      </c>
      <c r="S48" s="129">
        <f t="shared" si="3"/>
      </c>
      <c r="T48" s="130">
        <f t="shared" si="11"/>
        <v>1</v>
      </c>
      <c r="U48" s="131"/>
      <c r="V48" s="131"/>
      <c r="W48" s="131"/>
    </row>
    <row r="49" spans="1:23" s="118" customFormat="1" ht="15.75" customHeight="1">
      <c r="A49" s="122">
        <v>33</v>
      </c>
      <c r="B49" s="123">
        <v>44655.271527777775</v>
      </c>
      <c r="C49" s="123">
        <v>44655.333333333336</v>
      </c>
      <c r="D49" s="153">
        <f t="shared" si="8"/>
        <v>1.4833333334536292</v>
      </c>
      <c r="E49" s="123" t="s">
        <v>67</v>
      </c>
      <c r="F49" s="124"/>
      <c r="G49" s="125"/>
      <c r="H49" s="123"/>
      <c r="I49" s="123"/>
      <c r="J49" s="153">
        <f t="shared" si="9"/>
        <v>0</v>
      </c>
      <c r="K49" s="153">
        <f t="shared" si="10"/>
        <v>0</v>
      </c>
      <c r="L49" s="126"/>
      <c r="M49" s="127"/>
      <c r="N49" s="127"/>
      <c r="O49" s="128" t="s">
        <v>21</v>
      </c>
      <c r="P49" s="123"/>
      <c r="Q49" s="129">
        <f t="shared" si="1"/>
      </c>
      <c r="R49" s="129">
        <f t="shared" si="2"/>
        <v>1</v>
      </c>
      <c r="S49" s="129">
        <f t="shared" si="3"/>
      </c>
      <c r="T49" s="130">
        <f t="shared" si="11"/>
        <v>1</v>
      </c>
      <c r="U49" s="117"/>
      <c r="V49" s="117"/>
      <c r="W49" s="117"/>
    </row>
    <row r="50" spans="1:23" s="152" customFormat="1" ht="12.75">
      <c r="A50" s="141"/>
      <c r="B50" s="142"/>
      <c r="C50" s="142"/>
      <c r="D50" s="143">
        <f>SUM(D44:D49)</f>
        <v>133.516666666721</v>
      </c>
      <c r="E50" s="144"/>
      <c r="F50" s="145"/>
      <c r="G50" s="146"/>
      <c r="H50" s="147"/>
      <c r="I50" s="147"/>
      <c r="J50" s="148">
        <f>SUM(J44:J49)</f>
        <v>10.483333333279006</v>
      </c>
      <c r="K50" s="148">
        <f>SUM(K44:K49)</f>
        <v>10.483333333279006</v>
      </c>
      <c r="L50" s="149"/>
      <c r="M50" s="150"/>
      <c r="N50" s="150"/>
      <c r="O50" s="151"/>
      <c r="P50" s="144"/>
      <c r="Q50" s="129">
        <f t="shared" si="1"/>
      </c>
      <c r="R50" s="129">
        <f t="shared" si="2"/>
      </c>
      <c r="S50" s="129">
        <f t="shared" si="3"/>
      </c>
      <c r="T50" s="130">
        <f t="shared" si="11"/>
        <v>0</v>
      </c>
      <c r="U50" s="30"/>
      <c r="V50" s="30"/>
      <c r="W50" s="30"/>
    </row>
    <row r="51" spans="1:23" s="132" customFormat="1" ht="12.75">
      <c r="A51" s="133">
        <v>34</v>
      </c>
      <c r="B51" s="134">
        <v>44656.333333333336</v>
      </c>
      <c r="C51" s="157">
        <v>44658.22777777778</v>
      </c>
      <c r="D51" s="135">
        <f>(C51-B51)*24</f>
        <v>45.46666666661622</v>
      </c>
      <c r="E51" s="134" t="s">
        <v>72</v>
      </c>
      <c r="F51" s="136">
        <v>107535</v>
      </c>
      <c r="G51" s="137"/>
      <c r="H51" s="157">
        <v>44658.22777777778</v>
      </c>
      <c r="I51" s="134">
        <v>44658.24930555555</v>
      </c>
      <c r="J51" s="135">
        <f>(I51-H51)*24</f>
        <v>0.5166666666045785</v>
      </c>
      <c r="K51" s="135">
        <f>(I51-H51)*24</f>
        <v>0.5166666666045785</v>
      </c>
      <c r="L51" s="138" t="s">
        <v>23</v>
      </c>
      <c r="M51" s="139" t="s">
        <v>23</v>
      </c>
      <c r="N51" s="139" t="s">
        <v>23</v>
      </c>
      <c r="O51" s="140" t="s">
        <v>17</v>
      </c>
      <c r="P51" s="134"/>
      <c r="Q51" s="129">
        <f t="shared" si="1"/>
        <v>1</v>
      </c>
      <c r="R51" s="129">
        <f t="shared" si="2"/>
      </c>
      <c r="S51" s="129">
        <f t="shared" si="3"/>
      </c>
      <c r="T51" s="130">
        <f t="shared" si="11"/>
        <v>1</v>
      </c>
      <c r="U51" s="131"/>
      <c r="V51" s="131"/>
      <c r="W51" s="131"/>
    </row>
    <row r="52" spans="1:23" s="118" customFormat="1" ht="15.75" customHeight="1">
      <c r="A52" s="122">
        <v>35</v>
      </c>
      <c r="B52" s="123">
        <v>44658.24930555555</v>
      </c>
      <c r="C52" s="123">
        <v>44660.42986111111</v>
      </c>
      <c r="D52" s="153">
        <f>(C52-B52)*24</f>
        <v>52.33333333331393</v>
      </c>
      <c r="E52" s="123" t="s">
        <v>99</v>
      </c>
      <c r="F52" s="124">
        <v>107538</v>
      </c>
      <c r="G52" s="125"/>
      <c r="H52" s="123">
        <v>44660.42986111111</v>
      </c>
      <c r="I52" s="123">
        <v>44660.447222222225</v>
      </c>
      <c r="J52" s="153">
        <f>(I52-H52)*24</f>
        <v>0.41666666680248454</v>
      </c>
      <c r="K52" s="153">
        <f>(I52-H52)*24</f>
        <v>0.41666666680248454</v>
      </c>
      <c r="L52" s="126" t="s">
        <v>23</v>
      </c>
      <c r="M52" s="127" t="s">
        <v>23</v>
      </c>
      <c r="N52" s="127" t="s">
        <v>23</v>
      </c>
      <c r="O52" s="128" t="s">
        <v>17</v>
      </c>
      <c r="P52" s="123"/>
      <c r="Q52" s="129">
        <f t="shared" si="1"/>
        <v>1</v>
      </c>
      <c r="R52" s="129">
        <f t="shared" si="2"/>
      </c>
      <c r="S52" s="129">
        <f t="shared" si="3"/>
      </c>
      <c r="T52" s="130">
        <f t="shared" si="11"/>
        <v>1</v>
      </c>
      <c r="U52" s="117"/>
      <c r="V52" s="117"/>
      <c r="W52" s="117"/>
    </row>
    <row r="53" spans="1:23" s="132" customFormat="1" ht="12.75">
      <c r="A53" s="133">
        <v>36</v>
      </c>
      <c r="B53" s="134">
        <v>44660.447222222225</v>
      </c>
      <c r="C53" s="157">
        <v>44660.61041666667</v>
      </c>
      <c r="D53" s="183">
        <f>(C53-B53)*24</f>
        <v>3.916666666686069</v>
      </c>
      <c r="E53" s="184" t="s">
        <v>72</v>
      </c>
      <c r="F53" s="185">
        <v>107539</v>
      </c>
      <c r="G53" s="186"/>
      <c r="H53" s="157">
        <v>44660.61041666667</v>
      </c>
      <c r="I53" s="157">
        <v>44660.63055555556</v>
      </c>
      <c r="J53" s="135">
        <f>(I53-H53)*24</f>
        <v>0.48333333333721384</v>
      </c>
      <c r="K53" s="135">
        <f>(I53-H53)*24</f>
        <v>0.48333333333721384</v>
      </c>
      <c r="L53" s="138" t="s">
        <v>23</v>
      </c>
      <c r="M53" s="139" t="s">
        <v>23</v>
      </c>
      <c r="N53" s="139" t="s">
        <v>23</v>
      </c>
      <c r="O53" s="140" t="s">
        <v>17</v>
      </c>
      <c r="P53" s="134"/>
      <c r="Q53" s="129">
        <f t="shared" si="1"/>
        <v>1</v>
      </c>
      <c r="R53" s="129">
        <f t="shared" si="2"/>
      </c>
      <c r="S53" s="129">
        <f t="shared" si="3"/>
      </c>
      <c r="T53" s="130">
        <f t="shared" si="11"/>
        <v>1</v>
      </c>
      <c r="U53" s="131"/>
      <c r="V53" s="131"/>
      <c r="W53" s="131"/>
    </row>
    <row r="54" spans="1:23" s="118" customFormat="1" ht="15.75" customHeight="1">
      <c r="A54" s="122">
        <v>37</v>
      </c>
      <c r="B54" s="123">
        <v>44660.63055555556</v>
      </c>
      <c r="C54" s="123">
        <v>44662.333333333336</v>
      </c>
      <c r="D54" s="153">
        <f>(C54-B54)*24</f>
        <v>40.8666666666395</v>
      </c>
      <c r="E54" s="123" t="s">
        <v>67</v>
      </c>
      <c r="F54" s="124"/>
      <c r="G54" s="125"/>
      <c r="H54" s="123"/>
      <c r="I54" s="123"/>
      <c r="J54" s="153">
        <f>(I54-H54)*24</f>
        <v>0</v>
      </c>
      <c r="K54" s="153">
        <f>(I54-H54)*24</f>
        <v>0</v>
      </c>
      <c r="L54" s="126"/>
      <c r="M54" s="127"/>
      <c r="N54" s="127"/>
      <c r="O54" s="128" t="s">
        <v>21</v>
      </c>
      <c r="P54" s="123"/>
      <c r="Q54" s="129">
        <f t="shared" si="1"/>
      </c>
      <c r="R54" s="129">
        <f t="shared" si="2"/>
        <v>1</v>
      </c>
      <c r="S54" s="129">
        <f t="shared" si="3"/>
      </c>
      <c r="T54" s="130">
        <f t="shared" si="11"/>
        <v>1</v>
      </c>
      <c r="U54" s="117"/>
      <c r="V54" s="117"/>
      <c r="W54" s="117"/>
    </row>
    <row r="55" spans="1:23" s="152" customFormat="1" ht="12.75">
      <c r="A55" s="141"/>
      <c r="B55" s="142"/>
      <c r="C55" s="142"/>
      <c r="D55" s="143">
        <f>SUM(D51:D54)</f>
        <v>142.58333333325572</v>
      </c>
      <c r="E55" s="144"/>
      <c r="F55" s="145"/>
      <c r="G55" s="146"/>
      <c r="H55" s="147"/>
      <c r="I55" s="147"/>
      <c r="J55" s="148">
        <f>SUM(J51:J54)</f>
        <v>1.4166666667442769</v>
      </c>
      <c r="K55" s="148">
        <f>SUM(K51:K54)</f>
        <v>1.4166666667442769</v>
      </c>
      <c r="L55" s="149"/>
      <c r="M55" s="150"/>
      <c r="N55" s="150"/>
      <c r="O55" s="151"/>
      <c r="P55" s="144"/>
      <c r="Q55" s="129">
        <f t="shared" si="1"/>
      </c>
      <c r="R55" s="129">
        <f t="shared" si="2"/>
      </c>
      <c r="S55" s="129">
        <f t="shared" si="3"/>
      </c>
      <c r="T55" s="130">
        <f t="shared" si="11"/>
        <v>0</v>
      </c>
      <c r="U55" s="30"/>
      <c r="V55" s="30"/>
      <c r="W55" s="30"/>
    </row>
    <row r="56" spans="1:23" s="118" customFormat="1" ht="15.75" customHeight="1">
      <c r="A56" s="133">
        <v>38</v>
      </c>
      <c r="B56" s="134">
        <v>44663.333333333336</v>
      </c>
      <c r="C56" s="134">
        <v>44667.1</v>
      </c>
      <c r="D56" s="135">
        <f>(C56-B56)*24</f>
        <v>90.39999999990687</v>
      </c>
      <c r="E56" s="134" t="s">
        <v>100</v>
      </c>
      <c r="F56" s="136">
        <v>107544</v>
      </c>
      <c r="G56" s="137"/>
      <c r="H56" s="134">
        <v>44667.1</v>
      </c>
      <c r="I56" s="134">
        <v>44667.18472222222</v>
      </c>
      <c r="J56" s="135">
        <f>(I56-H56)*24</f>
        <v>2.0333333333255723</v>
      </c>
      <c r="K56" s="135">
        <f>(I56-H56)*24</f>
        <v>2.0333333333255723</v>
      </c>
      <c r="L56" s="138" t="s">
        <v>101</v>
      </c>
      <c r="M56" s="139" t="s">
        <v>101</v>
      </c>
      <c r="N56" s="139" t="s">
        <v>101</v>
      </c>
      <c r="O56" s="140" t="s">
        <v>17</v>
      </c>
      <c r="P56" s="134"/>
      <c r="Q56" s="129">
        <f t="shared" si="1"/>
        <v>1</v>
      </c>
      <c r="R56" s="129">
        <f t="shared" si="2"/>
      </c>
      <c r="S56" s="129">
        <f t="shared" si="3"/>
      </c>
      <c r="T56" s="130">
        <f t="shared" si="11"/>
        <v>1</v>
      </c>
      <c r="U56" s="117"/>
      <c r="V56" s="117"/>
      <c r="W56" s="117"/>
    </row>
    <row r="57" spans="1:23" s="118" customFormat="1" ht="15.75" customHeight="1">
      <c r="A57" s="122">
        <v>39</v>
      </c>
      <c r="B57" s="123">
        <v>44667.18472222222</v>
      </c>
      <c r="C57" s="123">
        <v>44669.333333333336</v>
      </c>
      <c r="D57" s="153">
        <f>(C57-B57)*24</f>
        <v>51.56666666676756</v>
      </c>
      <c r="E57" s="123" t="s">
        <v>67</v>
      </c>
      <c r="F57" s="124"/>
      <c r="G57" s="125"/>
      <c r="H57" s="123"/>
      <c r="I57" s="123"/>
      <c r="J57" s="153">
        <f>(I57-H57)*24</f>
        <v>0</v>
      </c>
      <c r="K57" s="153">
        <f>(I57-H57)*24</f>
        <v>0</v>
      </c>
      <c r="L57" s="126"/>
      <c r="M57" s="127"/>
      <c r="N57" s="127"/>
      <c r="O57" s="128" t="s">
        <v>21</v>
      </c>
      <c r="P57" s="123"/>
      <c r="Q57" s="129">
        <f t="shared" si="1"/>
      </c>
      <c r="R57" s="129">
        <f t="shared" si="2"/>
        <v>1</v>
      </c>
      <c r="S57" s="129">
        <f t="shared" si="3"/>
      </c>
      <c r="T57" s="130">
        <f t="shared" si="11"/>
        <v>1</v>
      </c>
      <c r="U57" s="117"/>
      <c r="V57" s="117"/>
      <c r="W57" s="117"/>
    </row>
    <row r="58" spans="1:23" s="152" customFormat="1" ht="12.75">
      <c r="A58" s="141"/>
      <c r="B58" s="142"/>
      <c r="C58" s="142"/>
      <c r="D58" s="143">
        <f>SUM(D56:D57)</f>
        <v>141.96666666667443</v>
      </c>
      <c r="E58" s="144"/>
      <c r="F58" s="145"/>
      <c r="G58" s="146"/>
      <c r="H58" s="147"/>
      <c r="I58" s="147"/>
      <c r="J58" s="148">
        <f>SUM(J56:J57)</f>
        <v>2.0333333333255723</v>
      </c>
      <c r="K58" s="148">
        <f>SUM(K56:K57)</f>
        <v>2.0333333333255723</v>
      </c>
      <c r="L58" s="149"/>
      <c r="M58" s="150"/>
      <c r="N58" s="150"/>
      <c r="O58" s="151"/>
      <c r="P58" s="144"/>
      <c r="Q58" s="129">
        <f t="shared" si="1"/>
      </c>
      <c r="R58" s="129">
        <f t="shared" si="2"/>
      </c>
      <c r="S58" s="129">
        <f t="shared" si="3"/>
      </c>
      <c r="T58" s="130">
        <f t="shared" si="11"/>
        <v>0</v>
      </c>
      <c r="U58" s="30"/>
      <c r="V58" s="30"/>
      <c r="W58" s="30"/>
    </row>
    <row r="59" spans="1:23" s="132" customFormat="1" ht="12.75">
      <c r="A59" s="133">
        <v>40</v>
      </c>
      <c r="B59" s="134">
        <v>44670.333333333336</v>
      </c>
      <c r="C59" s="157">
        <v>44671.615277777775</v>
      </c>
      <c r="D59" s="135">
        <f aca="true" t="shared" si="12" ref="D59:D64">(C59-B59)*24</f>
        <v>30.76666666654637</v>
      </c>
      <c r="E59" s="134"/>
      <c r="F59" s="136">
        <v>107546</v>
      </c>
      <c r="G59" s="137"/>
      <c r="H59" s="157">
        <v>44671.615277777775</v>
      </c>
      <c r="I59" s="134">
        <v>44671.63402777778</v>
      </c>
      <c r="J59" s="135">
        <f aca="true" t="shared" si="13" ref="J59:J64">(I59-H59)*24</f>
        <v>0.4500000000698492</v>
      </c>
      <c r="K59" s="135">
        <f aca="true" t="shared" si="14" ref="K59:K64">(I59-H59)*24</f>
        <v>0.4500000000698492</v>
      </c>
      <c r="L59" s="138" t="s">
        <v>94</v>
      </c>
      <c r="M59" s="139" t="s">
        <v>94</v>
      </c>
      <c r="N59" s="139" t="s">
        <v>94</v>
      </c>
      <c r="O59" s="140" t="s">
        <v>17</v>
      </c>
      <c r="P59" s="134"/>
      <c r="Q59" s="129">
        <f t="shared" si="1"/>
        <v>1</v>
      </c>
      <c r="R59" s="129">
        <f t="shared" si="2"/>
      </c>
      <c r="S59" s="129">
        <f t="shared" si="3"/>
      </c>
      <c r="T59" s="130">
        <f t="shared" si="11"/>
        <v>1</v>
      </c>
      <c r="U59" s="131"/>
      <c r="V59" s="131"/>
      <c r="W59" s="131"/>
    </row>
    <row r="60" spans="1:23" s="118" customFormat="1" ht="15.75" customHeight="1">
      <c r="A60" s="122">
        <v>41</v>
      </c>
      <c r="B60" s="123">
        <v>44671.63402777778</v>
      </c>
      <c r="C60" s="123">
        <v>44672.48402777778</v>
      </c>
      <c r="D60" s="153">
        <f t="shared" si="12"/>
        <v>20.399999999965075</v>
      </c>
      <c r="E60" s="123" t="s">
        <v>100</v>
      </c>
      <c r="F60" s="124">
        <v>107547</v>
      </c>
      <c r="G60" s="125"/>
      <c r="H60" s="123">
        <v>44672.48402777778</v>
      </c>
      <c r="I60" s="123">
        <v>44672.524305555555</v>
      </c>
      <c r="J60" s="153">
        <f t="shared" si="13"/>
        <v>0.9666666666744277</v>
      </c>
      <c r="K60" s="153">
        <f t="shared" si="14"/>
        <v>0.9666666666744277</v>
      </c>
      <c r="L60" s="126" t="s">
        <v>101</v>
      </c>
      <c r="M60" s="127" t="s">
        <v>101</v>
      </c>
      <c r="N60" s="127" t="s">
        <v>101</v>
      </c>
      <c r="O60" s="128" t="s">
        <v>17</v>
      </c>
      <c r="P60" s="123"/>
      <c r="Q60" s="129">
        <f t="shared" si="1"/>
        <v>1</v>
      </c>
      <c r="R60" s="129">
        <f t="shared" si="2"/>
      </c>
      <c r="S60" s="129">
        <f t="shared" si="3"/>
      </c>
      <c r="T60" s="130">
        <f aca="true" t="shared" si="15" ref="T60:T65">SUM(Q60:S60)</f>
        <v>1</v>
      </c>
      <c r="U60" s="117"/>
      <c r="V60" s="117"/>
      <c r="W60" s="117"/>
    </row>
    <row r="61" spans="1:23" s="132" customFormat="1" ht="12.75">
      <c r="A61" s="133">
        <v>42</v>
      </c>
      <c r="B61" s="134">
        <v>44672.524305555555</v>
      </c>
      <c r="C61" s="157">
        <v>44677.683333333334</v>
      </c>
      <c r="D61" s="135">
        <f t="shared" si="12"/>
        <v>123.81666666670935</v>
      </c>
      <c r="E61" s="134" t="s">
        <v>100</v>
      </c>
      <c r="F61" s="136">
        <v>107549</v>
      </c>
      <c r="G61" s="137"/>
      <c r="H61" s="157">
        <v>44677.683333333334</v>
      </c>
      <c r="I61" s="134">
        <v>44677.774305555555</v>
      </c>
      <c r="J61" s="135">
        <f t="shared" si="13"/>
        <v>2.1833333332906477</v>
      </c>
      <c r="K61" s="135">
        <f t="shared" si="14"/>
        <v>2.1833333332906477</v>
      </c>
      <c r="L61" s="138" t="s">
        <v>101</v>
      </c>
      <c r="M61" s="139" t="s">
        <v>101</v>
      </c>
      <c r="N61" s="139" t="s">
        <v>101</v>
      </c>
      <c r="O61" s="140" t="s">
        <v>17</v>
      </c>
      <c r="P61" s="134"/>
      <c r="Q61" s="129">
        <f t="shared" si="1"/>
        <v>1</v>
      </c>
      <c r="R61" s="129">
        <f t="shared" si="2"/>
      </c>
      <c r="S61" s="129">
        <f t="shared" si="3"/>
      </c>
      <c r="T61" s="130">
        <f t="shared" si="15"/>
        <v>1</v>
      </c>
      <c r="U61" s="131"/>
      <c r="V61" s="131"/>
      <c r="W61" s="131"/>
    </row>
    <row r="62" spans="1:23" s="118" customFormat="1" ht="15.75" customHeight="1">
      <c r="A62" s="122">
        <v>43</v>
      </c>
      <c r="B62" s="123">
        <v>44677.774305555555</v>
      </c>
      <c r="C62" s="123">
        <v>44678.47986111111</v>
      </c>
      <c r="D62" s="153">
        <f t="shared" si="12"/>
        <v>16.933333333348855</v>
      </c>
      <c r="E62" s="123" t="s">
        <v>102</v>
      </c>
      <c r="F62" s="124">
        <v>107550</v>
      </c>
      <c r="G62" s="125"/>
      <c r="H62" s="123">
        <v>44678.47986111111</v>
      </c>
      <c r="I62" s="123">
        <v>44678.520833333336</v>
      </c>
      <c r="J62" s="153">
        <f t="shared" si="13"/>
        <v>0.9833333333954215</v>
      </c>
      <c r="K62" s="153">
        <f t="shared" si="14"/>
        <v>0.9833333333954215</v>
      </c>
      <c r="L62" s="126" t="s">
        <v>22</v>
      </c>
      <c r="M62" s="127" t="s">
        <v>22</v>
      </c>
      <c r="N62" s="127" t="s">
        <v>22</v>
      </c>
      <c r="O62" s="128" t="s">
        <v>17</v>
      </c>
      <c r="P62" s="123"/>
      <c r="Q62" s="129">
        <f t="shared" si="1"/>
        <v>1</v>
      </c>
      <c r="R62" s="129">
        <f t="shared" si="2"/>
      </c>
      <c r="S62" s="129">
        <f t="shared" si="3"/>
      </c>
      <c r="T62" s="130">
        <f t="shared" si="15"/>
        <v>1</v>
      </c>
      <c r="U62" s="117"/>
      <c r="V62" s="117"/>
      <c r="W62" s="117"/>
    </row>
    <row r="63" spans="1:23" s="132" customFormat="1" ht="12.75">
      <c r="A63" s="133">
        <v>44</v>
      </c>
      <c r="B63" s="134">
        <v>44678.520833333336</v>
      </c>
      <c r="C63" s="157">
        <v>44678.90277777778</v>
      </c>
      <c r="D63" s="183">
        <f t="shared" si="12"/>
        <v>9.16666666668607</v>
      </c>
      <c r="E63" s="184" t="s">
        <v>102</v>
      </c>
      <c r="F63" s="185">
        <v>107551</v>
      </c>
      <c r="G63" s="186"/>
      <c r="H63" s="157">
        <v>44678.90277777778</v>
      </c>
      <c r="I63" s="157">
        <v>44679.01388888889</v>
      </c>
      <c r="J63" s="135">
        <f t="shared" si="13"/>
        <v>2.6666666666278616</v>
      </c>
      <c r="K63" s="135">
        <f t="shared" si="14"/>
        <v>2.6666666666278616</v>
      </c>
      <c r="L63" s="138" t="s">
        <v>22</v>
      </c>
      <c r="M63" s="139" t="s">
        <v>22</v>
      </c>
      <c r="N63" s="139" t="s">
        <v>22</v>
      </c>
      <c r="O63" s="140" t="s">
        <v>17</v>
      </c>
      <c r="P63" s="134"/>
      <c r="Q63" s="129">
        <f t="shared" si="1"/>
        <v>1</v>
      </c>
      <c r="R63" s="129">
        <f t="shared" si="2"/>
      </c>
      <c r="S63" s="129">
        <f t="shared" si="3"/>
      </c>
      <c r="T63" s="130">
        <f t="shared" si="15"/>
        <v>1</v>
      </c>
      <c r="U63" s="131"/>
      <c r="V63" s="131"/>
      <c r="W63" s="131"/>
    </row>
    <row r="64" spans="1:23" s="118" customFormat="1" ht="15.75" customHeight="1">
      <c r="A64" s="122">
        <v>45</v>
      </c>
      <c r="B64" s="123">
        <v>44679.01388888889</v>
      </c>
      <c r="C64" s="123">
        <v>44679.333333333336</v>
      </c>
      <c r="D64" s="153">
        <f t="shared" si="12"/>
        <v>7.666666666686069</v>
      </c>
      <c r="E64" s="123" t="s">
        <v>67</v>
      </c>
      <c r="F64" s="124"/>
      <c r="G64" s="125"/>
      <c r="H64" s="123"/>
      <c r="I64" s="123"/>
      <c r="J64" s="153">
        <f t="shared" si="13"/>
        <v>0</v>
      </c>
      <c r="K64" s="153">
        <f t="shared" si="14"/>
        <v>0</v>
      </c>
      <c r="L64" s="126"/>
      <c r="M64" s="127"/>
      <c r="N64" s="127"/>
      <c r="O64" s="128" t="s">
        <v>21</v>
      </c>
      <c r="P64" s="123"/>
      <c r="Q64" s="129">
        <f t="shared" si="1"/>
      </c>
      <c r="R64" s="129">
        <f t="shared" si="2"/>
        <v>1</v>
      </c>
      <c r="S64" s="129">
        <f t="shared" si="3"/>
      </c>
      <c r="T64" s="130">
        <f t="shared" si="15"/>
        <v>1</v>
      </c>
      <c r="U64" s="117"/>
      <c r="V64" s="117"/>
      <c r="W64" s="117"/>
    </row>
    <row r="65" spans="1:23" s="152" customFormat="1" ht="12.75">
      <c r="A65" s="141"/>
      <c r="B65" s="142"/>
      <c r="C65" s="142"/>
      <c r="D65" s="143">
        <f>SUM(D59:D64)</f>
        <v>208.7499999999418</v>
      </c>
      <c r="E65" s="144"/>
      <c r="F65" s="145"/>
      <c r="G65" s="146"/>
      <c r="H65" s="147"/>
      <c r="I65" s="147"/>
      <c r="J65" s="148">
        <f>SUM(J59:J64)</f>
        <v>7.250000000058208</v>
      </c>
      <c r="K65" s="148">
        <f>SUM(K59:K64)</f>
        <v>7.250000000058208</v>
      </c>
      <c r="L65" s="149"/>
      <c r="M65" s="150"/>
      <c r="N65" s="150"/>
      <c r="O65" s="151"/>
      <c r="P65" s="144"/>
      <c r="Q65" s="129">
        <f t="shared" si="1"/>
      </c>
      <c r="R65" s="129">
        <f t="shared" si="2"/>
      </c>
      <c r="S65" s="129">
        <f t="shared" si="3"/>
      </c>
      <c r="T65" s="130">
        <f t="shared" si="15"/>
        <v>0</v>
      </c>
      <c r="U65" s="30"/>
      <c r="V65" s="30"/>
      <c r="W65" s="30"/>
    </row>
    <row r="66" spans="1:23" s="118" customFormat="1" ht="12.75">
      <c r="A66" s="106"/>
      <c r="B66" s="107"/>
      <c r="C66" s="107"/>
      <c r="D66" s="108"/>
      <c r="E66" s="109"/>
      <c r="F66" s="110"/>
      <c r="G66" s="111"/>
      <c r="H66" s="107"/>
      <c r="I66" s="107"/>
      <c r="J66" s="112"/>
      <c r="K66" s="112"/>
      <c r="L66" s="113"/>
      <c r="M66" s="114"/>
      <c r="N66" s="114"/>
      <c r="O66" s="115"/>
      <c r="P66" s="109"/>
      <c r="Q66" s="116"/>
      <c r="R66" s="116"/>
      <c r="S66" s="116"/>
      <c r="T66" s="116"/>
      <c r="U66" s="117"/>
      <c r="V66" s="117"/>
      <c r="W66" s="117"/>
    </row>
    <row r="67" spans="1:23" s="118" customFormat="1" ht="12.75">
      <c r="A67" s="106"/>
      <c r="B67" s="107"/>
      <c r="C67" s="107"/>
      <c r="D67" s="108" t="s">
        <v>21</v>
      </c>
      <c r="E67" s="109"/>
      <c r="F67" s="110"/>
      <c r="G67" s="111"/>
      <c r="H67" s="107"/>
      <c r="I67" s="107"/>
      <c r="J67" s="112"/>
      <c r="K67" s="112"/>
      <c r="L67" s="113"/>
      <c r="M67" s="114"/>
      <c r="N67" s="114"/>
      <c r="O67" s="115"/>
      <c r="P67" s="109"/>
      <c r="Q67" s="116"/>
      <c r="R67" s="116"/>
      <c r="S67" s="116"/>
      <c r="T67" s="116"/>
      <c r="U67" s="117"/>
      <c r="V67" s="117"/>
      <c r="W67" s="117"/>
    </row>
    <row r="68" spans="1:18" ht="12.75">
      <c r="A68" s="28"/>
      <c r="B68" s="14"/>
      <c r="C68" s="34" t="s">
        <v>25</v>
      </c>
      <c r="D68" s="35">
        <f>Q70</f>
        <v>33</v>
      </c>
      <c r="E68" s="35"/>
      <c r="F68" s="29"/>
      <c r="G68" s="18"/>
      <c r="H68" s="19"/>
      <c r="I68" s="19"/>
      <c r="J68" s="36" t="s">
        <v>26</v>
      </c>
      <c r="K68" s="37"/>
      <c r="L68" s="21"/>
      <c r="M68" s="22"/>
      <c r="N68" s="22"/>
      <c r="O68" s="38"/>
      <c r="P68" s="23"/>
      <c r="R68" s="12">
        <f>IF($L68="Scheduled",1,"")</f>
      </c>
    </row>
    <row r="69" spans="1:18" ht="12.75">
      <c r="A69" s="28"/>
      <c r="B69" s="14"/>
      <c r="C69" s="34" t="s">
        <v>27</v>
      </c>
      <c r="D69" s="35">
        <f>D70-D68</f>
        <v>11</v>
      </c>
      <c r="E69" s="35"/>
      <c r="F69" s="29"/>
      <c r="G69" s="18"/>
      <c r="H69" s="19"/>
      <c r="I69" s="19"/>
      <c r="J69" s="15" t="s">
        <v>28</v>
      </c>
      <c r="K69" s="39" t="s">
        <v>13</v>
      </c>
      <c r="L69" s="21"/>
      <c r="M69" s="22"/>
      <c r="N69" s="22"/>
      <c r="O69" s="38"/>
      <c r="P69" s="23"/>
      <c r="R69" s="12">
        <f>IF($L69="Scheduled",1,"")</f>
      </c>
    </row>
    <row r="70" spans="1:29" ht="13.5" thickBot="1">
      <c r="A70" s="28"/>
      <c r="B70" s="14"/>
      <c r="C70" s="34" t="s">
        <v>29</v>
      </c>
      <c r="D70" s="40">
        <f>COUNT(A6:A66)</f>
        <v>44</v>
      </c>
      <c r="E70" s="40"/>
      <c r="F70" s="29"/>
      <c r="G70" s="18"/>
      <c r="H70" s="19"/>
      <c r="I70" s="19"/>
      <c r="J70" s="41">
        <f>SUM(J6:J66)/2</f>
        <v>56.20000000053551</v>
      </c>
      <c r="K70" s="41">
        <f>SUM(K6:K66)/2</f>
        <v>56.20000000053551</v>
      </c>
      <c r="L70" s="21"/>
      <c r="M70" s="22"/>
      <c r="N70" s="22"/>
      <c r="O70" s="38"/>
      <c r="P70" s="23"/>
      <c r="Q70" s="40">
        <f>SUM(Q1:Q66)</f>
        <v>33</v>
      </c>
      <c r="R70" s="40">
        <f>SUM(R1:R66)</f>
        <v>11</v>
      </c>
      <c r="S70" s="40">
        <f>SUM(S1:S66)</f>
        <v>2</v>
      </c>
      <c r="T70" s="40">
        <f>SUM(T1:T66)</f>
        <v>46</v>
      </c>
      <c r="V70" s="40" t="e">
        <f>SUM(#REF!)</f>
        <v>#REF!</v>
      </c>
      <c r="AA70" s="30"/>
      <c r="AB70" s="30"/>
      <c r="AC70" s="30"/>
    </row>
    <row r="71" spans="1:19" ht="14.25" thickBot="1" thickTop="1">
      <c r="A71" s="28"/>
      <c r="B71" s="14"/>
      <c r="C71" s="34"/>
      <c r="D71" s="15"/>
      <c r="E71" s="16"/>
      <c r="F71" s="29"/>
      <c r="G71" s="18"/>
      <c r="H71" s="19"/>
      <c r="I71" s="19"/>
      <c r="J71" s="41">
        <f>SUM(J66:J68)/2</f>
        <v>0</v>
      </c>
      <c r="K71" s="41">
        <f>SUM(K66:K68)/2</f>
        <v>0</v>
      </c>
      <c r="L71" s="21"/>
      <c r="M71" s="22"/>
      <c r="N71" s="22"/>
      <c r="O71" s="21"/>
      <c r="P71" s="23"/>
      <c r="R71" s="42" t="s">
        <v>21</v>
      </c>
      <c r="S71" s="12" t="s">
        <v>30</v>
      </c>
    </row>
    <row r="72" spans="1:26" ht="13.5" thickTop="1">
      <c r="A72" s="28"/>
      <c r="B72" s="14"/>
      <c r="C72" s="34" t="s">
        <v>31</v>
      </c>
      <c r="D72" s="15">
        <f>SUM(D6:D66)/2</f>
        <v>1694.7999999994645</v>
      </c>
      <c r="E72" s="43">
        <f>D72/24</f>
        <v>70.61666666664435</v>
      </c>
      <c r="F72" s="44" t="s">
        <v>32</v>
      </c>
      <c r="G72" s="18"/>
      <c r="H72" s="19"/>
      <c r="I72" s="12"/>
      <c r="J72" s="12"/>
      <c r="K72" s="12"/>
      <c r="L72" s="21"/>
      <c r="M72" s="14"/>
      <c r="N72" s="176"/>
      <c r="O72" s="15"/>
      <c r="P72" s="23"/>
      <c r="Q72" s="12" t="e">
        <f>IF(#REF!="Store Lost",1,"")</f>
        <v>#REF!</v>
      </c>
      <c r="T72" s="45"/>
      <c r="U72" s="30"/>
      <c r="V72" s="30"/>
      <c r="W72" s="30"/>
      <c r="X72" s="30"/>
      <c r="Y72" s="30"/>
      <c r="Z72" s="30"/>
    </row>
    <row r="73" spans="1:17" ht="12.75">
      <c r="A73" s="28"/>
      <c r="B73" s="14"/>
      <c r="C73" s="34" t="s">
        <v>33</v>
      </c>
      <c r="D73" s="15">
        <f>J70</f>
        <v>56.20000000053551</v>
      </c>
      <c r="E73" s="16" t="s">
        <v>34</v>
      </c>
      <c r="F73" s="29"/>
      <c r="G73" s="18"/>
      <c r="H73" s="19"/>
      <c r="I73" s="12"/>
      <c r="J73" s="12"/>
      <c r="K73" s="12"/>
      <c r="L73" s="21"/>
      <c r="M73" s="14"/>
      <c r="N73" s="176"/>
      <c r="O73" s="15"/>
      <c r="P73" s="23"/>
      <c r="Q73" s="12" t="e">
        <f>IF(#REF!="Store Lost",1,"")</f>
        <v>#REF!</v>
      </c>
    </row>
    <row r="74" spans="1:17" ht="13.5" thickBot="1">
      <c r="A74" s="28"/>
      <c r="B74" s="14"/>
      <c r="C74" s="34" t="s">
        <v>35</v>
      </c>
      <c r="D74" s="40">
        <f>SUM(D72:D73)</f>
        <v>1751</v>
      </c>
      <c r="E74" s="43"/>
      <c r="F74" s="29"/>
      <c r="G74" s="18"/>
      <c r="H74" s="19"/>
      <c r="I74" s="12"/>
      <c r="J74" s="12"/>
      <c r="K74" s="12"/>
      <c r="L74" s="21"/>
      <c r="M74" s="14"/>
      <c r="N74" s="176"/>
      <c r="O74" s="40"/>
      <c r="P74" s="23"/>
      <c r="Q74" s="12" t="e">
        <f>IF(#REF!="Store Lost",1,"")</f>
        <v>#REF!</v>
      </c>
    </row>
    <row r="75" spans="1:18" ht="13.5" thickTop="1">
      <c r="A75" s="28"/>
      <c r="B75" s="14"/>
      <c r="C75" s="34"/>
      <c r="D75" s="46"/>
      <c r="E75" s="47"/>
      <c r="F75" s="29"/>
      <c r="G75" s="18"/>
      <c r="H75" s="15"/>
      <c r="I75" s="12"/>
      <c r="J75" s="12"/>
      <c r="K75" s="12"/>
      <c r="L75" s="21"/>
      <c r="M75" s="14"/>
      <c r="N75" s="34"/>
      <c r="O75" s="46"/>
      <c r="P75" s="23"/>
      <c r="Q75" s="48">
        <f>Q70+R70</f>
        <v>44</v>
      </c>
      <c r="R75" s="12">
        <f>IF($P76="Store Lost",1,"")</f>
      </c>
    </row>
    <row r="76" spans="1:18" ht="12.75">
      <c r="A76" s="28"/>
      <c r="B76" s="14"/>
      <c r="C76" s="34" t="s">
        <v>36</v>
      </c>
      <c r="D76" s="49">
        <f>IF(D68,D72/D68,D72)</f>
        <v>51.35757575755953</v>
      </c>
      <c r="E76" s="16"/>
      <c r="F76" s="29"/>
      <c r="G76" s="18"/>
      <c r="I76" s="12"/>
      <c r="J76" s="12"/>
      <c r="K76" s="12"/>
      <c r="M76" s="14"/>
      <c r="N76" s="34"/>
      <c r="O76" s="49"/>
      <c r="Q76" s="23"/>
      <c r="R76" s="12">
        <f>IF($P78="Store Lost",1,"")</f>
      </c>
    </row>
    <row r="77" spans="1:18" ht="12.75">
      <c r="A77" s="28"/>
      <c r="B77" s="14"/>
      <c r="C77" s="34" t="s">
        <v>37</v>
      </c>
      <c r="D77" s="46">
        <f>IF(D68,24/D76,0)</f>
        <v>0.4673117772009973</v>
      </c>
      <c r="E77" s="51"/>
      <c r="F77" s="52"/>
      <c r="G77" s="53"/>
      <c r="I77" s="12"/>
      <c r="J77" s="12"/>
      <c r="K77" s="12"/>
      <c r="M77" s="14"/>
      <c r="N77" s="34"/>
      <c r="O77" s="46"/>
      <c r="Q77" s="23"/>
      <c r="R77" s="12" t="e">
        <f>NA()</f>
        <v>#N/A</v>
      </c>
    </row>
    <row r="78" spans="1:18" ht="12.75">
      <c r="A78" s="28"/>
      <c r="B78" s="14"/>
      <c r="C78" s="34" t="s">
        <v>38</v>
      </c>
      <c r="D78" s="119">
        <f>D72/D74</f>
        <v>0.967904054825508</v>
      </c>
      <c r="E78" s="54"/>
      <c r="F78" s="29"/>
      <c r="G78" s="18"/>
      <c r="I78" s="12"/>
      <c r="J78" s="12"/>
      <c r="K78" s="12"/>
      <c r="M78" s="14"/>
      <c r="N78" s="34"/>
      <c r="O78" s="119"/>
      <c r="Q78" s="23"/>
      <c r="R78" s="12" t="e">
        <f>NA()</f>
        <v>#N/A</v>
      </c>
    </row>
    <row r="79" spans="1:29" s="55" customFormat="1" ht="13.5" thickBot="1">
      <c r="A79" s="28"/>
      <c r="B79" s="14"/>
      <c r="C79" s="14"/>
      <c r="D79" s="15"/>
      <c r="E79" s="16"/>
      <c r="F79" s="29"/>
      <c r="G79" s="18"/>
      <c r="H79" s="7"/>
      <c r="I79" s="7"/>
      <c r="J79" s="3"/>
      <c r="K79" s="50"/>
      <c r="L79" s="9"/>
      <c r="M79" s="10"/>
      <c r="N79" s="10"/>
      <c r="O79" s="9"/>
      <c r="P79" s="11"/>
      <c r="Q79" s="23"/>
      <c r="R79" s="12">
        <f aca="true" t="shared" si="16" ref="R79:R87">IF($P81="Store Lost",1,"")</f>
      </c>
      <c r="S79" s="12"/>
      <c r="T79" s="12"/>
      <c r="U79" s="12"/>
      <c r="V79" s="12"/>
      <c r="W79" s="12"/>
      <c r="X79" s="12"/>
      <c r="Y79" s="12"/>
      <c r="Z79" s="12"/>
      <c r="AA79" s="12"/>
      <c r="AB79" s="12"/>
      <c r="AC79" s="12"/>
    </row>
    <row r="80" spans="1:18" ht="12.75">
      <c r="A80" s="28"/>
      <c r="B80" s="14"/>
      <c r="C80" s="14"/>
      <c r="D80" s="15"/>
      <c r="E80" s="16"/>
      <c r="F80" s="29"/>
      <c r="G80" s="18"/>
      <c r="K80" s="50"/>
      <c r="Q80" s="23"/>
      <c r="R80" s="12">
        <f t="shared" si="16"/>
      </c>
    </row>
    <row r="81" spans="1:18" ht="12.75">
      <c r="A81" s="28"/>
      <c r="B81" s="14"/>
      <c r="C81" s="14"/>
      <c r="D81" s="15"/>
      <c r="E81" s="16"/>
      <c r="F81" s="29"/>
      <c r="G81" s="18"/>
      <c r="K81" s="50"/>
      <c r="Q81" s="23"/>
      <c r="R81" s="12">
        <f t="shared" si="16"/>
      </c>
    </row>
    <row r="82" spans="1:18" ht="12.75">
      <c r="A82" s="28"/>
      <c r="B82" s="14"/>
      <c r="C82" s="14"/>
      <c r="D82" s="15"/>
      <c r="E82" s="16"/>
      <c r="F82" s="29"/>
      <c r="G82" s="18"/>
      <c r="K82" s="50"/>
      <c r="Q82" s="23"/>
      <c r="R82" s="12">
        <f t="shared" si="16"/>
      </c>
    </row>
    <row r="83" spans="1:18" ht="12.75">
      <c r="A83" s="28"/>
      <c r="B83" s="14"/>
      <c r="C83" s="14"/>
      <c r="D83" s="15"/>
      <c r="E83" s="16"/>
      <c r="F83" s="29"/>
      <c r="G83" s="18"/>
      <c r="K83" s="50"/>
      <c r="Q83" s="23"/>
      <c r="R83" s="12">
        <f t="shared" si="16"/>
      </c>
    </row>
    <row r="84" spans="1:18" ht="12.75">
      <c r="A84" s="28"/>
      <c r="B84" s="14"/>
      <c r="C84" s="14"/>
      <c r="D84" s="15"/>
      <c r="E84" s="16"/>
      <c r="F84" s="29"/>
      <c r="G84" s="18"/>
      <c r="K84" s="50"/>
      <c r="Q84" s="23"/>
      <c r="R84" s="12">
        <f t="shared" si="16"/>
      </c>
    </row>
    <row r="85" spans="1:18" ht="12.75">
      <c r="A85" s="28"/>
      <c r="B85" s="14"/>
      <c r="C85" s="14"/>
      <c r="D85" s="15"/>
      <c r="E85" s="16"/>
      <c r="F85" s="29"/>
      <c r="G85" s="18"/>
      <c r="K85" s="50"/>
      <c r="Q85" s="23"/>
      <c r="R85" s="12">
        <f t="shared" si="16"/>
      </c>
    </row>
    <row r="86" spans="1:18" ht="12.75">
      <c r="A86" s="28"/>
      <c r="B86" s="14"/>
      <c r="C86" s="14"/>
      <c r="D86" s="15"/>
      <c r="E86" s="16"/>
      <c r="F86" s="29"/>
      <c r="G86" s="18"/>
      <c r="K86" s="50"/>
      <c r="Q86" s="23"/>
      <c r="R86" s="12">
        <f t="shared" si="16"/>
      </c>
    </row>
    <row r="87" spans="1:18" ht="12.75">
      <c r="A87" s="28"/>
      <c r="B87" s="14"/>
      <c r="C87" s="14"/>
      <c r="D87" s="15"/>
      <c r="E87" s="16"/>
      <c r="F87" s="29"/>
      <c r="G87" s="18"/>
      <c r="K87" s="50"/>
      <c r="Q87" s="23"/>
      <c r="R87" s="12">
        <f t="shared" si="16"/>
      </c>
    </row>
    <row r="88" spans="1:29" s="56" customFormat="1" ht="12.75">
      <c r="A88" s="28"/>
      <c r="B88" s="14"/>
      <c r="C88" s="14"/>
      <c r="D88" s="15"/>
      <c r="E88" s="16"/>
      <c r="F88" s="29"/>
      <c r="G88" s="18"/>
      <c r="H88" s="7"/>
      <c r="I88" s="7"/>
      <c r="J88" s="3"/>
      <c r="K88" s="50"/>
      <c r="L88" s="9"/>
      <c r="M88" s="10"/>
      <c r="N88" s="10"/>
      <c r="O88" s="9"/>
      <c r="P88" s="11"/>
      <c r="Q88" s="12"/>
      <c r="R88" s="12"/>
      <c r="S88" s="12"/>
      <c r="T88" s="12"/>
      <c r="U88" s="12"/>
      <c r="V88" s="12"/>
      <c r="W88" s="12"/>
      <c r="X88" s="12"/>
      <c r="Y88" s="12"/>
      <c r="Z88" s="12"/>
      <c r="AA88" s="12"/>
      <c r="AB88" s="12"/>
      <c r="AC88" s="12"/>
    </row>
    <row r="89" spans="1:29" s="30" customFormat="1" ht="12.75">
      <c r="A89" s="28"/>
      <c r="B89" s="14"/>
      <c r="C89" s="14"/>
      <c r="D89" s="15"/>
      <c r="E89" s="16"/>
      <c r="F89" s="29"/>
      <c r="G89" s="18"/>
      <c r="H89" s="7"/>
      <c r="I89" s="7"/>
      <c r="J89" s="3"/>
      <c r="K89" s="50"/>
      <c r="L89" s="9"/>
      <c r="M89" s="10"/>
      <c r="N89" s="10"/>
      <c r="O89" s="9"/>
      <c r="P89" s="11"/>
      <c r="Q89" s="12"/>
      <c r="R89" s="12"/>
      <c r="S89" s="12"/>
      <c r="T89" s="12"/>
      <c r="U89" s="12"/>
      <c r="V89" s="12"/>
      <c r="W89" s="12"/>
      <c r="X89" s="12"/>
      <c r="Y89" s="12"/>
      <c r="Z89" s="12"/>
      <c r="AA89" s="55"/>
      <c r="AB89" s="55"/>
      <c r="AC89" s="55"/>
    </row>
    <row r="90" spans="1:16" ht="12.75">
      <c r="A90" s="28"/>
      <c r="B90" s="14"/>
      <c r="C90" s="14"/>
      <c r="D90" s="15"/>
      <c r="E90" s="16"/>
      <c r="F90" s="29"/>
      <c r="G90" s="18"/>
      <c r="H90" s="19"/>
      <c r="I90" s="19"/>
      <c r="J90" s="15"/>
      <c r="K90" s="20"/>
      <c r="L90" s="21"/>
      <c r="M90" s="22"/>
      <c r="N90" s="22"/>
      <c r="O90" s="21"/>
      <c r="P90" s="23"/>
    </row>
    <row r="91" spans="1:26" ht="12.75">
      <c r="A91" s="28"/>
      <c r="B91" s="14"/>
      <c r="C91" s="14"/>
      <c r="E91" s="16"/>
      <c r="F91" s="29"/>
      <c r="G91" s="18"/>
      <c r="H91" s="19"/>
      <c r="I91" s="19"/>
      <c r="L91" s="21"/>
      <c r="M91" s="22"/>
      <c r="N91" s="22"/>
      <c r="O91" s="21"/>
      <c r="P91" s="23"/>
      <c r="U91" s="55"/>
      <c r="V91" s="55"/>
      <c r="W91" s="55"/>
      <c r="X91" s="55"/>
      <c r="Y91" s="55"/>
      <c r="Z91" s="55"/>
    </row>
    <row r="92" spans="1:16" ht="12.75">
      <c r="A92" s="28"/>
      <c r="B92" s="14"/>
      <c r="C92" s="14"/>
      <c r="E92" s="16"/>
      <c r="F92" s="29"/>
      <c r="G92" s="18"/>
      <c r="H92" s="19"/>
      <c r="I92" s="19"/>
      <c r="L92" s="21"/>
      <c r="M92" s="22"/>
      <c r="N92" s="22"/>
      <c r="O92" s="21"/>
      <c r="P92" s="23"/>
    </row>
    <row r="93" spans="1:16" ht="12.75">
      <c r="A93" s="28"/>
      <c r="B93" s="14"/>
      <c r="C93" s="14"/>
      <c r="E93" s="16"/>
      <c r="F93" s="29"/>
      <c r="G93" s="18"/>
      <c r="H93" s="19"/>
      <c r="I93" s="19"/>
      <c r="L93" s="21"/>
      <c r="M93" s="22"/>
      <c r="N93" s="22"/>
      <c r="O93" s="21"/>
      <c r="P93" s="23"/>
    </row>
    <row r="94" spans="1:16" ht="12.75">
      <c r="A94" s="28"/>
      <c r="B94" s="14"/>
      <c r="C94" s="14"/>
      <c r="F94" s="29"/>
      <c r="G94" s="18"/>
      <c r="H94" s="19"/>
      <c r="I94" s="19"/>
      <c r="L94" s="21"/>
      <c r="M94" s="22"/>
      <c r="N94" s="22"/>
      <c r="O94" s="21"/>
      <c r="P94" s="23"/>
    </row>
    <row r="95" spans="1:20" ht="12.75">
      <c r="A95" s="28"/>
      <c r="B95" s="14"/>
      <c r="C95" s="14"/>
      <c r="F95" s="29"/>
      <c r="G95" s="18"/>
      <c r="H95" s="19"/>
      <c r="I95" s="19"/>
      <c r="L95" s="21"/>
      <c r="M95" s="22"/>
      <c r="N95" s="22"/>
      <c r="O95" s="21"/>
      <c r="P95" s="23"/>
      <c r="R95" s="55"/>
      <c r="S95" s="55"/>
      <c r="T95" s="55"/>
    </row>
    <row r="96" spans="2:16" ht="12.75">
      <c r="B96" s="14"/>
      <c r="C96" s="14"/>
      <c r="F96" s="29"/>
      <c r="G96" s="18"/>
      <c r="H96" s="19"/>
      <c r="I96" s="19"/>
      <c r="L96" s="21"/>
      <c r="M96" s="22"/>
      <c r="N96" s="22"/>
      <c r="O96" s="21"/>
      <c r="P96" s="23"/>
    </row>
    <row r="97" spans="2:17" ht="12.75">
      <c r="B97" s="14"/>
      <c r="C97" s="14"/>
      <c r="F97" s="29"/>
      <c r="G97" s="18"/>
      <c r="H97" s="19"/>
      <c r="I97" s="19"/>
      <c r="L97" s="21"/>
      <c r="M97" s="22"/>
      <c r="N97" s="22"/>
      <c r="O97" s="21"/>
      <c r="P97" s="23"/>
      <c r="Q97" s="12">
        <f aca="true" t="shared" si="17" ref="Q97:Q128">IF($O99="Store Lost",1,"")</f>
      </c>
    </row>
    <row r="98" spans="2:29" ht="12.75">
      <c r="B98" s="14"/>
      <c r="C98" s="14"/>
      <c r="F98" s="29"/>
      <c r="G98" s="18"/>
      <c r="H98" s="19"/>
      <c r="I98" s="19"/>
      <c r="L98" s="21"/>
      <c r="M98" s="22"/>
      <c r="N98" s="22"/>
      <c r="O98" s="21"/>
      <c r="P98" s="23"/>
      <c r="Q98" s="12">
        <f t="shared" si="17"/>
      </c>
      <c r="AA98" s="56"/>
      <c r="AB98" s="56"/>
      <c r="AC98" s="56"/>
    </row>
    <row r="99" spans="2:29" ht="12.75">
      <c r="B99" s="14"/>
      <c r="C99" s="14"/>
      <c r="Q99" s="12">
        <f t="shared" si="17"/>
      </c>
      <c r="AA99" s="30"/>
      <c r="AB99" s="30"/>
      <c r="AC99" s="30"/>
    </row>
    <row r="100" spans="17:26" ht="12.75">
      <c r="Q100" s="12">
        <f t="shared" si="17"/>
      </c>
      <c r="U100" s="56"/>
      <c r="V100" s="56"/>
      <c r="W100" s="56"/>
      <c r="X100" s="56"/>
      <c r="Y100" s="56"/>
      <c r="Z100" s="56"/>
    </row>
    <row r="101" spans="17:26" ht="12.75">
      <c r="Q101" s="12">
        <f t="shared" si="17"/>
      </c>
      <c r="U101" s="30"/>
      <c r="V101" s="30"/>
      <c r="W101" s="30"/>
      <c r="X101" s="30"/>
      <c r="Y101" s="30"/>
      <c r="Z101" s="30"/>
    </row>
    <row r="102" spans="1:29" s="55" customFormat="1" ht="12.75">
      <c r="A102" s="1"/>
      <c r="B102" s="2"/>
      <c r="C102" s="2"/>
      <c r="D102" s="3"/>
      <c r="E102" s="4"/>
      <c r="F102" s="5"/>
      <c r="G102" s="6"/>
      <c r="H102" s="7"/>
      <c r="I102" s="7"/>
      <c r="J102" s="3"/>
      <c r="K102" s="8"/>
      <c r="L102" s="9"/>
      <c r="M102" s="10"/>
      <c r="N102" s="10"/>
      <c r="O102" s="9"/>
      <c r="P102" s="11"/>
      <c r="Q102" s="12">
        <f t="shared" si="17"/>
      </c>
      <c r="R102" s="12"/>
      <c r="S102" s="12"/>
      <c r="T102" s="12"/>
      <c r="U102" s="12"/>
      <c r="V102" s="12"/>
      <c r="W102" s="12"/>
      <c r="X102" s="12"/>
      <c r="Y102" s="12"/>
      <c r="Z102" s="12"/>
      <c r="AA102" s="12"/>
      <c r="AB102" s="12"/>
      <c r="AC102" s="12"/>
    </row>
    <row r="103" ht="12.75">
      <c r="Q103" s="12">
        <f t="shared" si="17"/>
      </c>
    </row>
    <row r="104" spans="17:20" ht="12.75">
      <c r="Q104" s="12">
        <f t="shared" si="17"/>
      </c>
      <c r="R104" s="56"/>
      <c r="S104" s="56"/>
      <c r="T104" s="56"/>
    </row>
    <row r="105" spans="17:20" ht="12.75">
      <c r="Q105" s="12">
        <f t="shared" si="17"/>
      </c>
      <c r="R105" s="30"/>
      <c r="S105" s="30"/>
      <c r="T105" s="30"/>
    </row>
    <row r="106" ht="12.75">
      <c r="Q106" s="12">
        <f t="shared" si="17"/>
      </c>
    </row>
    <row r="107" ht="12.75">
      <c r="Q107" s="12">
        <f t="shared" si="17"/>
      </c>
    </row>
    <row r="108" ht="12.75">
      <c r="Q108" s="12">
        <f t="shared" si="17"/>
      </c>
    </row>
    <row r="109" ht="12.75">
      <c r="Q109" s="12">
        <f t="shared" si="17"/>
      </c>
    </row>
    <row r="110" ht="12.75">
      <c r="Q110" s="12">
        <f t="shared" si="17"/>
      </c>
    </row>
    <row r="111" ht="12.75">
      <c r="Q111" s="12">
        <f t="shared" si="17"/>
      </c>
    </row>
    <row r="112" spans="17:29" ht="12.75">
      <c r="Q112" s="12">
        <f t="shared" si="17"/>
      </c>
      <c r="AA112" s="55"/>
      <c r="AB112" s="55"/>
      <c r="AC112" s="55"/>
    </row>
    <row r="113" ht="12.75">
      <c r="Q113" s="12">
        <f t="shared" si="17"/>
      </c>
    </row>
    <row r="114" spans="17:26" ht="12.75">
      <c r="Q114" s="12">
        <f t="shared" si="17"/>
      </c>
      <c r="U114" s="55"/>
      <c r="V114" s="55"/>
      <c r="W114" s="55"/>
      <c r="X114" s="55"/>
      <c r="Y114" s="55"/>
      <c r="Z114" s="55"/>
    </row>
    <row r="115" spans="1:29" s="55" customFormat="1" ht="12.75">
      <c r="A115" s="1"/>
      <c r="B115" s="2"/>
      <c r="C115" s="2"/>
      <c r="D115" s="3"/>
      <c r="E115" s="4"/>
      <c r="F115" s="5"/>
      <c r="G115" s="6"/>
      <c r="H115" s="7"/>
      <c r="I115" s="7"/>
      <c r="J115" s="3"/>
      <c r="K115" s="8"/>
      <c r="L115" s="9"/>
      <c r="M115" s="10"/>
      <c r="N115" s="10"/>
      <c r="O115" s="9"/>
      <c r="P115" s="11"/>
      <c r="Q115" s="12">
        <f t="shared" si="17"/>
      </c>
      <c r="R115" s="12"/>
      <c r="S115" s="12"/>
      <c r="T115" s="12"/>
      <c r="U115" s="12"/>
      <c r="V115" s="12"/>
      <c r="W115" s="12"/>
      <c r="X115" s="12"/>
      <c r="Y115" s="12"/>
      <c r="Z115" s="12"/>
      <c r="AA115" s="12"/>
      <c r="AB115" s="12"/>
      <c r="AC115" s="12"/>
    </row>
    <row r="116" spans="1:29" s="30" customFormat="1" ht="12.75">
      <c r="A116" s="1"/>
      <c r="B116" s="2"/>
      <c r="C116" s="2"/>
      <c r="D116" s="3"/>
      <c r="E116" s="4"/>
      <c r="F116" s="5"/>
      <c r="G116" s="6"/>
      <c r="H116" s="7"/>
      <c r="I116" s="7"/>
      <c r="J116" s="3"/>
      <c r="K116" s="8"/>
      <c r="L116" s="9"/>
      <c r="M116" s="10"/>
      <c r="N116" s="10"/>
      <c r="O116" s="9"/>
      <c r="P116" s="11"/>
      <c r="Q116" s="12">
        <f t="shared" si="17"/>
      </c>
      <c r="R116" s="12"/>
      <c r="S116" s="12"/>
      <c r="T116" s="12"/>
      <c r="U116" s="12"/>
      <c r="V116" s="12"/>
      <c r="W116" s="12"/>
      <c r="X116" s="12"/>
      <c r="Y116" s="12"/>
      <c r="Z116" s="12"/>
      <c r="AA116" s="12"/>
      <c r="AB116" s="12"/>
      <c r="AC116" s="12"/>
    </row>
    <row r="117" spans="1:29" s="55" customFormat="1" ht="12.75">
      <c r="A117" s="1"/>
      <c r="B117" s="2"/>
      <c r="C117" s="2"/>
      <c r="D117" s="3"/>
      <c r="E117" s="4"/>
      <c r="F117" s="5"/>
      <c r="G117" s="6"/>
      <c r="H117" s="7"/>
      <c r="I117" s="7"/>
      <c r="J117" s="3"/>
      <c r="K117" s="8"/>
      <c r="L117" s="9"/>
      <c r="M117" s="10"/>
      <c r="N117" s="10"/>
      <c r="O117" s="9"/>
      <c r="P117" s="11"/>
      <c r="Q117" s="12">
        <f t="shared" si="17"/>
      </c>
      <c r="R117" s="12"/>
      <c r="S117" s="12"/>
      <c r="T117" s="12"/>
      <c r="U117" s="12"/>
      <c r="V117" s="12"/>
      <c r="W117" s="12"/>
      <c r="X117" s="12"/>
      <c r="Y117" s="12"/>
      <c r="Z117" s="12"/>
      <c r="AA117" s="12"/>
      <c r="AB117" s="12"/>
      <c r="AC117" s="12"/>
    </row>
    <row r="118" spans="17:20" ht="12.75">
      <c r="Q118" s="12">
        <f t="shared" si="17"/>
      </c>
      <c r="R118" s="55"/>
      <c r="S118" s="55"/>
      <c r="T118" s="55"/>
    </row>
    <row r="119" ht="12.75">
      <c r="Q119" s="12">
        <f t="shared" si="17"/>
      </c>
    </row>
    <row r="120" ht="12.75">
      <c r="Q120" s="12">
        <f t="shared" si="17"/>
      </c>
    </row>
    <row r="121" ht="12.75">
      <c r="Q121" s="12">
        <f t="shared" si="17"/>
      </c>
    </row>
    <row r="122" ht="12.75">
      <c r="Q122" s="12">
        <f t="shared" si="17"/>
      </c>
    </row>
    <row r="123" ht="12.75">
      <c r="Q123" s="12">
        <f t="shared" si="17"/>
      </c>
    </row>
    <row r="124" ht="12.75">
      <c r="Q124" s="12">
        <f t="shared" si="17"/>
      </c>
    </row>
    <row r="125" spans="17:29" ht="12.75">
      <c r="Q125" s="12">
        <f t="shared" si="17"/>
      </c>
      <c r="AA125" s="55"/>
      <c r="AB125" s="55"/>
      <c r="AC125" s="55"/>
    </row>
    <row r="126" spans="17:29" ht="12.75">
      <c r="Q126" s="12">
        <f t="shared" si="17"/>
      </c>
      <c r="AA126" s="30"/>
      <c r="AB126" s="30"/>
      <c r="AC126" s="30"/>
    </row>
    <row r="127" spans="17:29" ht="12.75">
      <c r="Q127" s="12">
        <f t="shared" si="17"/>
      </c>
      <c r="U127" s="55"/>
      <c r="V127" s="55"/>
      <c r="W127" s="55"/>
      <c r="X127" s="55"/>
      <c r="Y127" s="55"/>
      <c r="Z127" s="55"/>
      <c r="AA127" s="55"/>
      <c r="AB127" s="55"/>
      <c r="AC127" s="55"/>
    </row>
    <row r="128" spans="17:26" ht="12.75">
      <c r="Q128" s="12">
        <f t="shared" si="17"/>
      </c>
      <c r="U128" s="30"/>
      <c r="V128" s="30"/>
      <c r="W128" s="30"/>
      <c r="X128" s="30"/>
      <c r="Y128" s="30"/>
      <c r="Z128" s="30"/>
    </row>
    <row r="129" spans="17:26" ht="12.75">
      <c r="Q129" s="12">
        <f aca="true" t="shared" si="18" ref="Q129:Q154">IF($O131="Store Lost",1,"")</f>
      </c>
      <c r="U129" s="55"/>
      <c r="V129" s="55"/>
      <c r="W129" s="55"/>
      <c r="X129" s="55"/>
      <c r="Y129" s="55"/>
      <c r="Z129" s="55"/>
    </row>
    <row r="130" ht="12.75">
      <c r="Q130" s="12">
        <f t="shared" si="18"/>
      </c>
    </row>
    <row r="131" spans="17:20" ht="12.75">
      <c r="Q131" s="12">
        <f t="shared" si="18"/>
      </c>
      <c r="R131" s="55"/>
      <c r="S131" s="55"/>
      <c r="T131" s="55"/>
    </row>
    <row r="132" spans="17:20" ht="12.75">
      <c r="Q132" s="12">
        <f t="shared" si="18"/>
      </c>
      <c r="R132" s="30"/>
      <c r="S132" s="30"/>
      <c r="T132" s="30"/>
    </row>
    <row r="133" spans="17:20" ht="12.75">
      <c r="Q133" s="12">
        <f t="shared" si="18"/>
      </c>
      <c r="R133" s="55"/>
      <c r="S133" s="55"/>
      <c r="T133" s="55"/>
    </row>
    <row r="134" ht="12.75">
      <c r="Q134" s="12">
        <f t="shared" si="18"/>
      </c>
    </row>
    <row r="135" ht="12.75">
      <c r="Q135" s="12">
        <f t="shared" si="18"/>
      </c>
    </row>
    <row r="136" ht="12.75">
      <c r="Q136" s="12">
        <f t="shared" si="18"/>
      </c>
    </row>
    <row r="137" ht="12.75">
      <c r="Q137" s="12">
        <f t="shared" si="18"/>
      </c>
    </row>
    <row r="138" spans="1:29" s="55" customFormat="1" ht="12.75">
      <c r="A138" s="1"/>
      <c r="B138" s="2"/>
      <c r="C138" s="2"/>
      <c r="D138" s="3"/>
      <c r="E138" s="4"/>
      <c r="F138" s="5"/>
      <c r="G138" s="6"/>
      <c r="H138" s="7"/>
      <c r="I138" s="7"/>
      <c r="J138" s="3"/>
      <c r="K138" s="8"/>
      <c r="L138" s="9"/>
      <c r="M138" s="10"/>
      <c r="N138" s="10"/>
      <c r="O138" s="9"/>
      <c r="P138" s="11"/>
      <c r="Q138" s="12">
        <f t="shared" si="18"/>
      </c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</row>
    <row r="139" ht="12.75">
      <c r="Q139" s="12">
        <f t="shared" si="18"/>
      </c>
    </row>
    <row r="140" ht="12.75">
      <c r="Q140" s="12">
        <f t="shared" si="18"/>
      </c>
    </row>
    <row r="141" ht="12.75">
      <c r="Q141" s="12">
        <f t="shared" si="18"/>
      </c>
    </row>
    <row r="142" ht="12.75">
      <c r="Q142" s="12">
        <f t="shared" si="18"/>
      </c>
    </row>
    <row r="143" ht="12.75">
      <c r="Q143" s="12">
        <f t="shared" si="18"/>
      </c>
    </row>
    <row r="144" ht="12.75">
      <c r="Q144" s="12">
        <f t="shared" si="18"/>
      </c>
    </row>
    <row r="145" ht="12.75">
      <c r="Q145" s="12">
        <f t="shared" si="18"/>
      </c>
    </row>
    <row r="146" ht="12.75">
      <c r="Q146" s="12">
        <f t="shared" si="18"/>
      </c>
    </row>
    <row r="147" ht="12.75">
      <c r="Q147" s="12">
        <f t="shared" si="18"/>
      </c>
    </row>
    <row r="148" spans="17:29" ht="12.75">
      <c r="Q148" s="12">
        <f t="shared" si="18"/>
      </c>
      <c r="AA148" s="55"/>
      <c r="AB148" s="55"/>
      <c r="AC148" s="55"/>
    </row>
    <row r="149" ht="12.75">
      <c r="Q149" s="12">
        <f t="shared" si="18"/>
      </c>
    </row>
    <row r="150" spans="17:26" ht="12.75">
      <c r="Q150" s="12">
        <f t="shared" si="18"/>
      </c>
      <c r="U150" s="55"/>
      <c r="V150" s="55"/>
      <c r="W150" s="55"/>
      <c r="X150" s="55"/>
      <c r="Y150" s="55"/>
      <c r="Z150" s="55"/>
    </row>
    <row r="151" ht="12.75">
      <c r="Q151" s="12">
        <f t="shared" si="18"/>
      </c>
    </row>
    <row r="152" ht="12.75">
      <c r="Q152" s="12">
        <f t="shared" si="18"/>
      </c>
    </row>
    <row r="153" ht="12.75">
      <c r="Q153" s="12">
        <f t="shared" si="18"/>
      </c>
    </row>
    <row r="154" spans="17:20" ht="12.75">
      <c r="Q154" s="12">
        <f t="shared" si="18"/>
      </c>
      <c r="R154" s="55"/>
      <c r="S154" s="55"/>
      <c r="T154" s="55"/>
    </row>
    <row r="158" ht="12.75">
      <c r="Q158" s="12">
        <f>COUNT(Q66:Q154)</f>
        <v>2</v>
      </c>
    </row>
  </sheetData>
  <sheetProtection/>
  <mergeCells count="1">
    <mergeCell ref="A2:I2"/>
  </mergeCells>
  <printOptions/>
  <pageMargins left="0" right="0" top="0" bottom="0.15" header="0.5118055555555555" footer="0.15"/>
  <pageSetup fitToHeight="0" fitToWidth="1" horizontalDpi="300" verticalDpi="300" orientation="landscape" paperSize="5" scale="68" r:id="rId2"/>
  <headerFooter alignWithMargins="0">
    <oddFooter>&amp;RUpdated &amp;D</oddFooter>
  </headerFooter>
  <rowBreaks count="1" manualBreakCount="1">
    <brk id="9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U43"/>
  <sheetViews>
    <sheetView zoomScalePageLayoutView="0" workbookViewId="0" topLeftCell="I4">
      <selection activeCell="S18" sqref="S18"/>
    </sheetView>
  </sheetViews>
  <sheetFormatPr defaultColWidth="9.140625" defaultRowHeight="12.75"/>
  <cols>
    <col min="1" max="1" width="21.8515625" style="0" customWidth="1"/>
    <col min="2" max="10" width="12.00390625" style="0" customWidth="1"/>
    <col min="11" max="13" width="10.57421875" style="0" customWidth="1"/>
    <col min="14" max="15" width="22.28125" style="0" customWidth="1"/>
    <col min="16" max="16" width="12.00390625" style="0" customWidth="1"/>
    <col min="17" max="18" width="22.28125" style="0" customWidth="1"/>
    <col min="19" max="19" width="12.00390625" style="0" customWidth="1"/>
    <col min="20" max="21" width="22.28125" style="0" customWidth="1"/>
    <col min="22" max="22" width="4.00390625" style="0" customWidth="1"/>
    <col min="23" max="24" width="22.28125" style="0" customWidth="1"/>
    <col min="25" max="25" width="12.00390625" style="0" customWidth="1"/>
    <col min="26" max="27" width="21.140625" style="0" customWidth="1"/>
    <col min="28" max="28" width="4.00390625" style="0" customWidth="1"/>
    <col min="29" max="30" width="21.140625" style="0" bestFit="1" customWidth="1"/>
    <col min="31" max="31" width="4.421875" style="0" customWidth="1"/>
    <col min="32" max="33" width="21.140625" style="0" bestFit="1" customWidth="1"/>
    <col min="34" max="34" width="5.00390625" style="0" customWidth="1"/>
    <col min="35" max="36" width="21.140625" style="0" bestFit="1" customWidth="1"/>
    <col min="37" max="37" width="10.28125" style="0" bestFit="1" customWidth="1"/>
  </cols>
  <sheetData>
    <row r="3" spans="1:11" ht="12.75">
      <c r="A3" s="158"/>
      <c r="B3" s="159" t="s">
        <v>14</v>
      </c>
      <c r="C3" s="160"/>
      <c r="D3" s="160"/>
      <c r="E3" s="160"/>
      <c r="F3" s="160"/>
      <c r="G3" s="160"/>
      <c r="H3" s="160"/>
      <c r="I3" s="160"/>
      <c r="J3" s="160"/>
      <c r="K3" s="161"/>
    </row>
    <row r="4" spans="1:11" ht="12.75">
      <c r="A4" s="159" t="s">
        <v>39</v>
      </c>
      <c r="B4" s="158" t="s">
        <v>22</v>
      </c>
      <c r="C4" s="162" t="s">
        <v>23</v>
      </c>
      <c r="D4" s="162" t="s">
        <v>24</v>
      </c>
      <c r="E4" s="162" t="s">
        <v>65</v>
      </c>
      <c r="F4" s="162" t="s">
        <v>71</v>
      </c>
      <c r="G4" s="162" t="s">
        <v>80</v>
      </c>
      <c r="H4" s="162" t="s">
        <v>89</v>
      </c>
      <c r="I4" s="162" t="s">
        <v>94</v>
      </c>
      <c r="J4" s="162" t="s">
        <v>101</v>
      </c>
      <c r="K4" s="163" t="s">
        <v>59</v>
      </c>
    </row>
    <row r="5" spans="1:11" ht="12.75">
      <c r="A5" s="158" t="s">
        <v>40</v>
      </c>
      <c r="B5" s="164">
        <v>0</v>
      </c>
      <c r="C5" s="165">
        <v>0</v>
      </c>
      <c r="D5" s="165">
        <v>1</v>
      </c>
      <c r="E5" s="165">
        <v>0</v>
      </c>
      <c r="F5" s="165">
        <v>1</v>
      </c>
      <c r="G5" s="165">
        <v>0</v>
      </c>
      <c r="H5" s="165">
        <v>0</v>
      </c>
      <c r="I5" s="165">
        <v>0</v>
      </c>
      <c r="J5" s="165">
        <v>0</v>
      </c>
      <c r="K5" s="166">
        <v>2</v>
      </c>
    </row>
    <row r="6" spans="1:11" ht="12.75">
      <c r="A6" s="167" t="s">
        <v>41</v>
      </c>
      <c r="B6" s="168">
        <v>6</v>
      </c>
      <c r="C6" s="70">
        <v>8</v>
      </c>
      <c r="D6" s="70">
        <v>0</v>
      </c>
      <c r="E6" s="70">
        <v>3</v>
      </c>
      <c r="F6" s="70">
        <v>4</v>
      </c>
      <c r="G6" s="70">
        <v>6</v>
      </c>
      <c r="H6" s="70">
        <v>1</v>
      </c>
      <c r="I6" s="70">
        <v>2</v>
      </c>
      <c r="J6" s="70">
        <v>3</v>
      </c>
      <c r="K6" s="169">
        <v>33</v>
      </c>
    </row>
    <row r="7" spans="1:11" ht="12.75">
      <c r="A7" s="170" t="s">
        <v>68</v>
      </c>
      <c r="B7" s="172">
        <v>14.18333333346527</v>
      </c>
      <c r="C7" s="173">
        <v>3.850000000325963</v>
      </c>
      <c r="D7" s="171">
        <v>7.233333333337214</v>
      </c>
      <c r="E7" s="171">
        <v>3.3166666666511446</v>
      </c>
      <c r="F7" s="171">
        <v>15.316666666476522</v>
      </c>
      <c r="G7" s="171">
        <v>4.766666666837409</v>
      </c>
      <c r="H7" s="171">
        <v>1.4500000000116415</v>
      </c>
      <c r="I7" s="171">
        <v>0.9000000001396984</v>
      </c>
      <c r="J7" s="171">
        <v>5.183333333290648</v>
      </c>
      <c r="K7" s="174">
        <v>56.20000000053551</v>
      </c>
    </row>
    <row r="13" spans="2:21" ht="12.75">
      <c r="B13" s="57" t="s">
        <v>23</v>
      </c>
      <c r="C13" s="58" t="s">
        <v>44</v>
      </c>
      <c r="D13" s="58" t="s">
        <v>22</v>
      </c>
      <c r="E13" s="58" t="s">
        <v>45</v>
      </c>
      <c r="F13" s="58" t="s">
        <v>46</v>
      </c>
      <c r="G13" s="58" t="s">
        <v>47</v>
      </c>
      <c r="H13" s="58" t="s">
        <v>48</v>
      </c>
      <c r="I13" s="58" t="s">
        <v>49</v>
      </c>
      <c r="J13" s="175" t="s">
        <v>69</v>
      </c>
      <c r="K13" s="58" t="s">
        <v>50</v>
      </c>
      <c r="L13" s="58" t="s">
        <v>51</v>
      </c>
      <c r="M13" s="58" t="s">
        <v>52</v>
      </c>
      <c r="N13" s="58" t="s">
        <v>53</v>
      </c>
      <c r="O13" s="58" t="s">
        <v>54</v>
      </c>
      <c r="P13" s="58" t="s">
        <v>55</v>
      </c>
      <c r="Q13" s="58" t="s">
        <v>56</v>
      </c>
      <c r="R13" s="59" t="s">
        <v>57</v>
      </c>
      <c r="S13" s="60" t="s">
        <v>58</v>
      </c>
      <c r="T13" s="60" t="s">
        <v>59</v>
      </c>
      <c r="U13" s="61" t="s">
        <v>60</v>
      </c>
    </row>
    <row r="14" spans="1:21" s="65" customFormat="1" ht="12.75">
      <c r="A14" s="120" t="s">
        <v>103</v>
      </c>
      <c r="B14" s="154">
        <f>IF(B16,SUM(B16/B25),"")</f>
        <v>0.002198743575286101</v>
      </c>
      <c r="C14" s="154">
        <f>IF(C16,SUM(C16/B25),"")</f>
        <v>0.00272225395022125</v>
      </c>
      <c r="D14" s="154">
        <f>IF(D16,SUM(D16/B25),"")</f>
        <v>0.00810013325726172</v>
      </c>
      <c r="E14" s="154"/>
      <c r="F14" s="154">
        <f>IF(F16,SUM(F16/B25),"")</f>
      </c>
      <c r="G14" s="154">
        <f>IF(G16,SUM(G16/B25),"")</f>
        <v>0.008747382448016289</v>
      </c>
      <c r="H14" s="154">
        <f>IF(H16,SUM(H16/B25),"")</f>
      </c>
      <c r="I14" s="154">
        <f>IF(I16,SUM(I16/B25),"")</f>
        <v>0.004130972777462715</v>
      </c>
      <c r="J14" s="154">
        <f>IF(J16,SUM(J16/B25),"")</f>
      </c>
      <c r="K14" s="154">
        <f>IF(K16,SUM(K16/B25),"")</f>
      </c>
      <c r="L14" s="154">
        <f>IF(L16,SUM(L16/B25),"")</f>
        <v>0.0018941557205317788</v>
      </c>
      <c r="M14" s="154">
        <f>IF(M16,SUM(M16/E25),"")</f>
      </c>
      <c r="N14" s="154">
        <f>IF(N16,SUM(N16/B25),"")</f>
      </c>
      <c r="O14" s="154">
        <f>IF(O16,SUM(O16/B25),"")</f>
      </c>
      <c r="P14" s="154">
        <f>IF(Q16,SUM(Q16/C25),"")</f>
      </c>
      <c r="Q14" s="154">
        <f>IF(Q16,SUM(Q16/B25),"")</f>
      </c>
      <c r="R14" s="63">
        <f>IF(R16,SUM(R16/B25),"")</f>
      </c>
      <c r="S14" s="63">
        <f>IF(S16,SUM(S16/B25),"")</f>
        <v>0.0005139920046485999</v>
      </c>
      <c r="T14" s="63">
        <f>IF(T16,SUM(T16/B25),"")</f>
        <v>0.03209594517449201</v>
      </c>
      <c r="U14" s="64">
        <f>IF(U16,SUM(U16/N13),"")</f>
      </c>
    </row>
    <row r="15" spans="1:21" ht="12.75">
      <c r="A15" s="62" t="s">
        <v>61</v>
      </c>
      <c r="B15" s="66">
        <f>'[1]reliabilitySummary'!$B$7</f>
        <v>0.0054</v>
      </c>
      <c r="C15" s="66">
        <f>'[1]reliabilitySummary'!$B$8</f>
        <v>0.0012000000000000001</v>
      </c>
      <c r="D15" s="66">
        <f>'[1]reliabilitySummary'!$B$9</f>
        <v>0.0054</v>
      </c>
      <c r="E15" s="66">
        <f>'[1]reliabilitySummary'!$B$10</f>
        <v>0.003</v>
      </c>
      <c r="F15" s="66">
        <v>0.0028</v>
      </c>
      <c r="G15" s="66">
        <v>0.0028</v>
      </c>
      <c r="H15" s="66">
        <v>0.0028</v>
      </c>
      <c r="I15" s="66">
        <f>'[1]reliabilitySummary'!$B$16</f>
        <v>0.0036000000000000003</v>
      </c>
      <c r="J15" s="66">
        <f>'[1]reliabilitySummary'!$B$16</f>
        <v>0.0036000000000000003</v>
      </c>
      <c r="K15" s="66">
        <f>'[1]reliabilitySummary'!$B$18</f>
        <v>0.0012000000000000001</v>
      </c>
      <c r="L15" s="66">
        <f>'[1]reliabilitySummary'!$B$19</f>
        <v>0</v>
      </c>
      <c r="M15" s="66">
        <f>'[1]reliabilitySummary'!$B$20</f>
        <v>0.0006000000000000001</v>
      </c>
      <c r="N15" s="66">
        <f>'[1]reliabilitySummary'!$B$24</f>
        <v>0.0006000000000000001</v>
      </c>
      <c r="O15" s="66">
        <f>'[1]reliabilitySummary'!$B$25</f>
        <v>0.0018000000000000002</v>
      </c>
      <c r="P15" s="66">
        <f>'[1]reliabilitySummary'!$B$26</f>
        <v>0.0006000000000000001</v>
      </c>
      <c r="Q15" s="66">
        <f>'[1]reliabilitySummary'!$B$27</f>
        <v>0.0018000000000000002</v>
      </c>
      <c r="R15" s="66">
        <f>'[1]reliabilitySummary'!$B$11</f>
        <v>0.0012000000000000001</v>
      </c>
      <c r="S15" s="66">
        <f>'[1]reliabilitySummary'!$B$28</f>
        <v>0.0006000000000000001</v>
      </c>
      <c r="T15" s="66">
        <v>0.03</v>
      </c>
      <c r="U15" s="67"/>
    </row>
    <row r="16" spans="1:21" s="65" customFormat="1" ht="12.75">
      <c r="A16" s="62" t="s">
        <v>62</v>
      </c>
      <c r="B16" s="156">
        <f>GETPIVOTDATA("Sum of System 
Length",$A$3,"Group","RF")</f>
        <v>3.850000000325963</v>
      </c>
      <c r="C16" s="156">
        <f>GETPIVOTDATA("Sum of System 
Length",$A$3,"Group","DIA")</f>
        <v>4.766666666837409</v>
      </c>
      <c r="D16" s="156">
        <f>GETPIVOTDATA("Sum of System 
Length",$A$3,"Group","PS")</f>
        <v>14.18333333346527</v>
      </c>
      <c r="E16" s="156">
        <f>GETPIVOTDATA("Sum of System 
Length",$A$3,"Group","CTL")</f>
        <v>1.4500000000116415</v>
      </c>
      <c r="F16" s="156"/>
      <c r="G16" s="156">
        <f>GETPIVOTDATA("Sum of System 
Length",$A$3,"Group","SI")</f>
        <v>15.316666666476522</v>
      </c>
      <c r="H16" s="156"/>
      <c r="I16" s="156">
        <f>GETPIVOTDATA("Sum of System 
Length",$A$3,"Group","MOM")</f>
        <v>7.233333333337214</v>
      </c>
      <c r="J16" s="156"/>
      <c r="K16" s="156"/>
      <c r="L16" s="156">
        <f>GETPIVOTDATA("Sum of System 
Length",$A$3,"Group","AOP")</f>
        <v>3.3166666666511446</v>
      </c>
      <c r="N16" s="155"/>
      <c r="O16" s="156"/>
      <c r="P16" s="156">
        <f>GETPIVOTDATA("Sum of System 
Length",$A$3,"Group","FAC")</f>
        <v>5.183333333290648</v>
      </c>
      <c r="Q16" s="156"/>
      <c r="R16" s="155"/>
      <c r="S16" s="156">
        <f>GETPIVOTDATA("Sum of System 
Length",$A$3,"Group","UNK")</f>
        <v>0.9000000001396984</v>
      </c>
      <c r="T16" s="68">
        <f>'Main Data'!J70</f>
        <v>56.20000000053551</v>
      </c>
      <c r="U16" s="69"/>
    </row>
    <row r="17" spans="1:20" ht="12.75">
      <c r="A17" s="71" t="s">
        <v>63</v>
      </c>
      <c r="B17">
        <f>GETPIVOTDATA("Sum - Store Lost",$A$3,"Group","RF")</f>
        <v>8</v>
      </c>
      <c r="C17">
        <f>GETPIVOTDATA("Sum - Store Lost",$A$3,"Group","DIA")</f>
        <v>6</v>
      </c>
      <c r="D17">
        <f>GETPIVOTDATA("Sum - Store Lost",$A$3,"Group","PS")</f>
        <v>6</v>
      </c>
      <c r="E17">
        <f>GETPIVOTDATA("Sum - Store Lost",$A$3,"Group","CTL")</f>
        <v>1</v>
      </c>
      <c r="G17">
        <f>GETPIVOTDATA("Sum - Store Lost",$A$3,"Group","SI")</f>
        <v>4</v>
      </c>
      <c r="I17">
        <f>GETPIVOTDATA("Sum - Store Lost",$A$3,"Group","MOM")</f>
        <v>0</v>
      </c>
      <c r="L17">
        <f>GETPIVOTDATA("Sum - Store Lost",$A$3,"Group","AOP")</f>
        <v>3</v>
      </c>
      <c r="P17">
        <f>GETPIVOTDATA("Sum - Store Lost",$A$3,"Group","FAC")</f>
        <v>3</v>
      </c>
      <c r="S17">
        <f>GETPIVOTDATA("Sum - Store Lost",$A$3,"Group","UNK")</f>
        <v>2</v>
      </c>
      <c r="T17" s="68">
        <f>SUM(B17:S17)</f>
        <v>33</v>
      </c>
    </row>
    <row r="18" spans="1:20" ht="12.75">
      <c r="A18" s="71"/>
      <c r="B18" s="70"/>
      <c r="C18" s="70"/>
      <c r="D18" s="70"/>
      <c r="E18" s="70"/>
      <c r="G18" s="70"/>
      <c r="H18" s="70"/>
      <c r="I18" s="70"/>
      <c r="J18" s="70"/>
      <c r="N18" s="70"/>
      <c r="P18" s="70"/>
      <c r="T18" s="68"/>
    </row>
    <row r="19" spans="1:20" ht="13.5" thickBot="1">
      <c r="A19" s="71"/>
      <c r="B19" s="155"/>
      <c r="C19" s="70"/>
      <c r="D19" s="70"/>
      <c r="E19" s="70"/>
      <c r="G19" s="70"/>
      <c r="H19" s="70"/>
      <c r="I19" s="70"/>
      <c r="J19" s="70"/>
      <c r="N19" s="70"/>
      <c r="P19" s="70"/>
      <c r="T19" s="68"/>
    </row>
    <row r="20" spans="2:20" ht="12.75">
      <c r="B20" s="57" t="s">
        <v>23</v>
      </c>
      <c r="C20" s="58" t="s">
        <v>44</v>
      </c>
      <c r="D20" s="58" t="s">
        <v>22</v>
      </c>
      <c r="E20" s="58" t="s">
        <v>45</v>
      </c>
      <c r="F20" s="58" t="s">
        <v>46</v>
      </c>
      <c r="G20" s="58" t="s">
        <v>47</v>
      </c>
      <c r="H20" s="58" t="s">
        <v>48</v>
      </c>
      <c r="I20" s="58" t="s">
        <v>24</v>
      </c>
      <c r="J20" s="175" t="s">
        <v>69</v>
      </c>
      <c r="K20" s="58" t="s">
        <v>50</v>
      </c>
      <c r="L20" s="58" t="s">
        <v>51</v>
      </c>
      <c r="M20" s="58" t="s">
        <v>52</v>
      </c>
      <c r="N20" s="58" t="s">
        <v>53</v>
      </c>
      <c r="O20" s="58" t="s">
        <v>54</v>
      </c>
      <c r="P20" s="58" t="s">
        <v>55</v>
      </c>
      <c r="Q20" s="58" t="s">
        <v>56</v>
      </c>
      <c r="R20" s="59" t="s">
        <v>57</v>
      </c>
      <c r="S20" s="60" t="s">
        <v>58</v>
      </c>
      <c r="T20" s="68"/>
    </row>
    <row r="21" spans="1:20" ht="12.75">
      <c r="A21" s="120" t="s">
        <v>103</v>
      </c>
      <c r="B21" s="72">
        <f aca="true" t="shared" si="0" ref="B21:I21">B17/($B24/24)</f>
        <v>0.11328770356387814</v>
      </c>
      <c r="C21" s="73">
        <f t="shared" si="0"/>
        <v>0.08496577767290861</v>
      </c>
      <c r="D21" s="73">
        <f t="shared" si="0"/>
        <v>0.08496577767290861</v>
      </c>
      <c r="E21" s="73">
        <f t="shared" si="0"/>
        <v>0.014160962945484768</v>
      </c>
      <c r="F21" s="72">
        <f t="shared" si="0"/>
        <v>0</v>
      </c>
      <c r="G21" s="72">
        <f t="shared" si="0"/>
        <v>0.05664385178193907</v>
      </c>
      <c r="H21" s="72">
        <f t="shared" si="0"/>
        <v>0</v>
      </c>
      <c r="I21" s="72">
        <f t="shared" si="0"/>
        <v>0</v>
      </c>
      <c r="J21" s="72">
        <f>J17/($B24/24)</f>
        <v>0</v>
      </c>
      <c r="K21" s="73">
        <f>K17/($B24/24)</f>
        <v>0</v>
      </c>
      <c r="L21" s="73">
        <f>L17/($B24/24)</f>
        <v>0.042482888836454305</v>
      </c>
      <c r="M21" s="72">
        <f>M17/($B24/24)</f>
        <v>0</v>
      </c>
      <c r="N21" s="73"/>
      <c r="O21" s="72">
        <f aca="true" t="shared" si="1" ref="O21:T21">O17/($B24/24)</f>
        <v>0</v>
      </c>
      <c r="P21" s="72">
        <f t="shared" si="1"/>
        <v>0.042482888836454305</v>
      </c>
      <c r="Q21" s="73">
        <f>N17/($B24/24)</f>
        <v>0</v>
      </c>
      <c r="R21" s="72">
        <f t="shared" si="1"/>
        <v>0</v>
      </c>
      <c r="S21" s="72">
        <f t="shared" si="1"/>
        <v>0.028321925890969536</v>
      </c>
      <c r="T21" s="72">
        <f t="shared" si="1"/>
        <v>0.46731177720099737</v>
      </c>
    </row>
    <row r="22" spans="1:21" ht="12.75">
      <c r="A22" s="74" t="s">
        <v>61</v>
      </c>
      <c r="B22" s="75">
        <f>'[1]reliabilitySummary'!$F$7</f>
        <v>0.12</v>
      </c>
      <c r="C22" s="75">
        <f>'[1]reliabilitySummary'!$F$8</f>
        <v>0.03</v>
      </c>
      <c r="D22" s="75">
        <v>0.12</v>
      </c>
      <c r="E22" s="75">
        <v>0.05</v>
      </c>
      <c r="F22" s="75">
        <v>0.035</v>
      </c>
      <c r="G22" s="75">
        <v>0.035</v>
      </c>
      <c r="H22" s="75">
        <v>0.035</v>
      </c>
      <c r="I22" s="75">
        <v>0.06</v>
      </c>
      <c r="J22" s="75">
        <v>0.06</v>
      </c>
      <c r="K22" s="75">
        <v>0.02</v>
      </c>
      <c r="L22" s="76">
        <v>0</v>
      </c>
      <c r="M22" s="76">
        <v>0.01</v>
      </c>
      <c r="N22" s="76">
        <v>0.01</v>
      </c>
      <c r="O22" s="76">
        <v>0.01</v>
      </c>
      <c r="P22" s="76">
        <v>0.01</v>
      </c>
      <c r="Q22" s="76">
        <v>0.02</v>
      </c>
      <c r="R22" s="76">
        <v>0.01</v>
      </c>
      <c r="S22" s="76">
        <v>0.02</v>
      </c>
      <c r="T22" s="76">
        <f>SUM(B22:S22)</f>
        <v>0.6550000000000001</v>
      </c>
      <c r="U22" s="77"/>
    </row>
    <row r="24" spans="1:2" ht="12.75">
      <c r="A24" s="34" t="s">
        <v>31</v>
      </c>
      <c r="B24" s="65">
        <f>'Main Data'!D72</f>
        <v>1694.7999999994645</v>
      </c>
    </row>
    <row r="25" spans="1:2" ht="12.75">
      <c r="A25" s="78" t="s">
        <v>35</v>
      </c>
      <c r="B25" s="76">
        <f>'Main Data'!D74</f>
        <v>1751</v>
      </c>
    </row>
    <row r="29" ht="12.75">
      <c r="A29" s="79"/>
    </row>
    <row r="35" ht="12.75">
      <c r="A35" s="80" t="s">
        <v>64</v>
      </c>
    </row>
    <row r="36" spans="1:6" ht="12.75">
      <c r="A36" s="79"/>
      <c r="B36" s="81"/>
      <c r="C36" s="82" t="s">
        <v>12</v>
      </c>
      <c r="D36" s="81"/>
      <c r="E36" s="81"/>
      <c r="F36" s="83"/>
    </row>
    <row r="37" spans="1:6" ht="12.75">
      <c r="A37" s="82" t="s">
        <v>15</v>
      </c>
      <c r="B37" s="82" t="s">
        <v>39</v>
      </c>
      <c r="C37" s="79" t="s">
        <v>22</v>
      </c>
      <c r="D37" s="84" t="s">
        <v>23</v>
      </c>
      <c r="E37" s="84" t="s">
        <v>65</v>
      </c>
      <c r="F37" s="85" t="s">
        <v>59</v>
      </c>
    </row>
    <row r="38" spans="1:6" ht="12.75">
      <c r="A38" s="79" t="s">
        <v>17</v>
      </c>
      <c r="B38" s="79" t="s">
        <v>41</v>
      </c>
      <c r="C38" s="86"/>
      <c r="D38" s="87">
        <v>1</v>
      </c>
      <c r="E38" s="87">
        <v>1</v>
      </c>
      <c r="F38" s="88">
        <v>2</v>
      </c>
    </row>
    <row r="39" spans="1:6" ht="12.75">
      <c r="A39" s="89"/>
      <c r="B39" s="90" t="s">
        <v>40</v>
      </c>
      <c r="C39" s="91"/>
      <c r="D39" s="70">
        <v>0</v>
      </c>
      <c r="E39" s="70">
        <v>0</v>
      </c>
      <c r="F39" s="92">
        <v>0</v>
      </c>
    </row>
    <row r="40" spans="1:6" ht="12.75">
      <c r="A40" s="79" t="s">
        <v>66</v>
      </c>
      <c r="B40" s="79" t="s">
        <v>41</v>
      </c>
      <c r="C40" s="86">
        <v>0</v>
      </c>
      <c r="D40" s="87"/>
      <c r="E40" s="87"/>
      <c r="F40" s="88">
        <v>0</v>
      </c>
    </row>
    <row r="41" spans="1:6" ht="12.75">
      <c r="A41" s="89"/>
      <c r="B41" s="90" t="s">
        <v>40</v>
      </c>
      <c r="C41" s="91">
        <v>1</v>
      </c>
      <c r="D41" s="70"/>
      <c r="E41" s="70"/>
      <c r="F41" s="92">
        <v>1</v>
      </c>
    </row>
    <row r="42" spans="1:6" ht="12.75">
      <c r="A42" s="79" t="s">
        <v>43</v>
      </c>
      <c r="B42" s="81"/>
      <c r="C42" s="86">
        <v>0</v>
      </c>
      <c r="D42" s="87">
        <v>1</v>
      </c>
      <c r="E42" s="87">
        <v>1</v>
      </c>
      <c r="F42" s="88">
        <v>2</v>
      </c>
    </row>
    <row r="43" spans="1:6" ht="12.75">
      <c r="A43" s="93" t="s">
        <v>42</v>
      </c>
      <c r="B43" s="94"/>
      <c r="C43" s="95">
        <v>1</v>
      </c>
      <c r="D43" s="121">
        <v>0</v>
      </c>
      <c r="E43" s="121">
        <v>0</v>
      </c>
      <c r="F43" s="96">
        <v>1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37">
      <selection activeCell="A37" sqref="A1:IV16384"/>
    </sheetView>
  </sheetViews>
  <sheetFormatPr defaultColWidth="9.140625" defaultRowHeight="12.75"/>
  <cols>
    <col min="20" max="20" width="12.00390625" style="0" customWidth="1"/>
    <col min="21" max="21" width="3.00390625" style="0" customWidth="1"/>
  </cols>
  <sheetData/>
  <sheetProtection/>
  <printOptions/>
  <pageMargins left="0.747916666666667" right="0.747916666666667" top="0.984027777777778" bottom="0.984027777777778" header="0.511805555555556" footer="0.511805555555556"/>
  <pageSetup horizontalDpi="300" verticalDpi="300" orientation="portrait" scale="4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Shift Summary</dc:title>
  <dc:subject>Downtime</dc:subject>
  <dc:creator>Dmitriy Ronzhin</dc:creator>
  <cp:keywords>Run 1998-5 Availability Downtime 1999</cp:keywords>
  <dc:description/>
  <cp:lastModifiedBy>Flood, Randy J.</cp:lastModifiedBy>
  <cp:lastPrinted>2022-05-06T14:52:46Z</cp:lastPrinted>
  <dcterms:created xsi:type="dcterms:W3CDTF">1998-01-15T00:06:45Z</dcterms:created>
  <dcterms:modified xsi:type="dcterms:W3CDTF">2022-05-06T15:13:46Z</dcterms:modified>
  <cp:category/>
  <cp:version/>
  <cp:contentType/>
  <cp:contentStatus/>
  <cp:revision>5</cp:revision>
</cp:coreProperties>
</file>