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705" windowHeight="187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Data'!$A$2:$P$71</definedName>
    <definedName name="Excel_BuiltIn_Print_Area_1_1_1">'Main Data'!$A$2:$P$92</definedName>
    <definedName name="Excel_BuiltIn_Print_Area_1_1_11">'Main Data'!$A$2:$P$93</definedName>
    <definedName name="Excel_BuiltIn_Print_Area_1_1_1_1">'Main Data'!$A$2:$P$79</definedName>
    <definedName name="Excel_BuiltIn_Print_Area_41">'Faults Per Day'!$A$1:$W$67</definedName>
    <definedName name="Faults_Day_of_Delivered_Beam">'Main Data'!$D$121</definedName>
    <definedName name="Mean_Time_Between_Faults">'Main Data'!$D$120</definedName>
    <definedName name="Number_of_Fills">'Main Data'!$D$113</definedName>
    <definedName name="Number_of_Intentional_Dumps">'Main Data'!$D$112</definedName>
    <definedName name="Number_of_Lost_Fills">'Main Data'!$D$111</definedName>
    <definedName name="_xlnm.Print_Area" localSheetId="3">'Faults Per Day'!$A$1:$AC$81</definedName>
    <definedName name="_xlnm.Print_Area" localSheetId="0">'Main Data'!$A$2:$P$79</definedName>
    <definedName name="_xlnm.Print_Titles" localSheetId="0">'Main Data'!$5:$5</definedName>
    <definedName name="Refill_Time">'Main Data'!$D$1</definedName>
    <definedName name="Total_Schedule_Run_Length">'Main Data'!$D$117</definedName>
    <definedName name="Total_System_Downtime">'Main Data'!$K$113</definedName>
    <definedName name="Total_User_Beam">'Main Data'!$D$115</definedName>
    <definedName name="Total_User_Downtime">'Main Data'!$D$116</definedName>
    <definedName name="User_Beam_Days">'Main Data'!$E$115</definedName>
    <definedName name="X_ray_Availability">'Main Data'!$D$122</definedName>
  </definedNames>
  <calcPr fullCalcOnLoad="1"/>
  <pivotCaches>
    <pivotCache cacheId="16" r:id="rId5"/>
    <pivotCache cacheId="12" r:id="rId6"/>
  </pivotCaches>
</workbook>
</file>

<file path=xl/sharedStrings.xml><?xml version="1.0" encoding="utf-8"?>
<sst xmlns="http://schemas.openxmlformats.org/spreadsheetml/2006/main" count="287" uniqueCount="107">
  <si>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</si>
  <si>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</si>
  <si>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</si>
  <si>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</si>
  <si>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</si>
  <si>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</si>
  <si>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</si>
  <si>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</si>
  <si>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</si>
  <si>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</si>
  <si>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</si>
  <si>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</si>
  <si>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</si>
  <si>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</si>
  <si>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</si>
  <si>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</si>
  <si>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</si>
  <si>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</si>
  <si>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</si>
  <si>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</si>
  <si>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</si>
  <si>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</si>
  <si>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</si>
  <si>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</si>
  <si>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</si>
  <si>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</si>
  <si>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</si>
  <si>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</si>
  <si>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</si>
  <si>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</si>
  <si>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</si>
  <si>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</si>
  <si>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</si>
  <si>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</si>
  <si>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</si>
  <si>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</si>
  <si>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</si>
  <si>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</si>
  <si>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</si>
  <si>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</si>
  <si>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</si>
  <si>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</si>
  <si>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</si>
  <si>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</si>
  <si>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</si>
  <si>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</si>
  <si>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</si>
  <si>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</si>
  <si>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</si>
  <si>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</si>
  <si>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</si>
  <si>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</si>
  <si>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</si>
  <si>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</si>
  <si>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</si>
  <si>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</si>
  <si>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</si>
  <si>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</si>
  <si>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</si>
  <si>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</si>
  <si>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</si>
  <si>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</si>
  <si>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</si>
  <si>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</si>
  <si>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</si>
  <si>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</si>
  <si>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</si>
  <si>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</si>
  <si>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</si>
  <si>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VAC</t>
  </si>
  <si>
    <t>HP</t>
  </si>
  <si>
    <t>Downtime for Run 2020-1</t>
  </si>
  <si>
    <t>S16A:Q3 fault [PS]</t>
  </si>
  <si>
    <t>RF-4 T/R N2 pressure [RF]</t>
  </si>
  <si>
    <t>Rad Mon @10ID door [OTH]</t>
  </si>
  <si>
    <t>ComEd Power Sag [FAC]</t>
  </si>
  <si>
    <t>Injection problems [AOP]</t>
  </si>
  <si>
    <t>Rf-4 tripped on cav vac [RF]</t>
  </si>
  <si>
    <t>RF-4 tripped on ion gauge fault</t>
  </si>
  <si>
    <t>S21ID SS shutter stuck open</t>
  </si>
  <si>
    <t>SR injection issues adjusted tunes and TFB system</t>
  </si>
  <si>
    <t>MCR</t>
  </si>
  <si>
    <t>RTFB incorrectly started [MCR]</t>
  </si>
  <si>
    <t>S26A:V3 PS flt [PS]</t>
  </si>
  <si>
    <t>Intentional Dump [OTH]</t>
  </si>
  <si>
    <t>H2O Flow Fault [FAC]</t>
  </si>
  <si>
    <t>OTH</t>
  </si>
  <si>
    <t>FAC</t>
  </si>
  <si>
    <t>IOCS35FB Error [CTL]</t>
  </si>
  <si>
    <t>CTL</t>
  </si>
  <si>
    <t>RF-4 crowbar trip [RF]</t>
  </si>
  <si>
    <t>Rf-4 mod anode glitch [RF]</t>
  </si>
  <si>
    <t>Multiple FEEPS trips [OTH]</t>
  </si>
  <si>
    <t>S38 H2O flt [RF]</t>
  </si>
  <si>
    <t>S1 RTFB heartbeat [CTL]</t>
  </si>
  <si>
    <t>Lightning strike [OTH]</t>
  </si>
  <si>
    <t>Total User Beam Supplemental</t>
  </si>
  <si>
    <t>Total User Supplemental Downtime</t>
  </si>
  <si>
    <t>Total Supplemental Run Length</t>
  </si>
  <si>
    <t>RF3 circ load trip [RF]</t>
  </si>
  <si>
    <t>S37 load trip [RF]</t>
  </si>
  <si>
    <t>RF4 HV glitch [RF]</t>
  </si>
  <si>
    <t>RF2 circ load arc trip [RF]</t>
  </si>
  <si>
    <t>Supplemental</t>
  </si>
  <si>
    <t>Fill &lt;1 hour RF waveguide switch</t>
  </si>
  <si>
    <t>Run 2020-1</t>
  </si>
  <si>
    <t>ComEd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</si>
</sst>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5" applyNumberFormat="1" applyFont="1" applyFill="1" applyBorder="1" applyAlignment="1" applyProtection="1">
      <alignment vertical="top" wrapText="1"/>
      <protection locked="0"/>
    </xf>
    <xf numFmtId="2" fontId="0" fillId="0" borderId="0" xfId="6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5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 horizontal="right"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0" fontId="0" fillId="0" borderId="29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30" xfId="0" applyNumberFormat="1" applyBorder="1" applyAlignment="1">
      <alignment wrapText="1"/>
    </xf>
    <xf numFmtId="22" fontId="0" fillId="36" borderId="0" xfId="0" applyNumberFormat="1" applyFont="1" applyFill="1" applyBorder="1" applyAlignment="1">
      <alignment/>
    </xf>
    <xf numFmtId="22" fontId="0" fillId="36" borderId="27" xfId="0" applyNumberFormat="1" applyFont="1" applyFill="1" applyBorder="1" applyAlignment="1">
      <alignment/>
    </xf>
    <xf numFmtId="22" fontId="0" fillId="43" borderId="0" xfId="0" applyNumberFormat="1" applyFont="1" applyFill="1" applyBorder="1" applyAlignment="1">
      <alignment/>
    </xf>
    <xf numFmtId="22" fontId="0" fillId="43" borderId="27" xfId="0" applyNumberFormat="1" applyFont="1" applyFill="1" applyBorder="1" applyAlignment="1">
      <alignment/>
    </xf>
    <xf numFmtId="2" fontId="0" fillId="44" borderId="27" xfId="0" applyNumberFormat="1" applyFont="1" applyFill="1" applyBorder="1" applyAlignment="1">
      <alignment horizontal="right"/>
    </xf>
    <xf numFmtId="0" fontId="0" fillId="45" borderId="27" xfId="0" applyNumberFormat="1" applyFont="1" applyFill="1" applyBorder="1" applyAlignment="1" applyProtection="1">
      <alignment/>
      <protection/>
    </xf>
    <xf numFmtId="0" fontId="0" fillId="45" borderId="27" xfId="0" applyNumberFormat="1" applyFont="1" applyFill="1" applyBorder="1" applyAlignment="1" applyProtection="1">
      <alignment/>
      <protection locked="0"/>
    </xf>
    <xf numFmtId="0" fontId="0" fillId="45" borderId="27" xfId="0" applyNumberFormat="1" applyFont="1" applyFill="1" applyBorder="1" applyAlignment="1" applyProtection="1">
      <alignment horizontal="left"/>
      <protection/>
    </xf>
    <xf numFmtId="164" fontId="0" fillId="45" borderId="27" xfId="0" applyNumberFormat="1" applyFont="1" applyFill="1" applyBorder="1" applyAlignment="1">
      <alignment/>
    </xf>
    <xf numFmtId="22" fontId="0" fillId="46" borderId="27" xfId="0" applyNumberFormat="1" applyFont="1" applyFill="1" applyBorder="1" applyAlignment="1">
      <alignment/>
    </xf>
    <xf numFmtId="22" fontId="0" fillId="46" borderId="0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8" borderId="27" xfId="0" applyNumberFormat="1" applyFont="1" applyFill="1" applyBorder="1" applyAlignment="1" applyProtection="1">
      <alignment/>
      <protection/>
    </xf>
    <xf numFmtId="0" fontId="0" fillId="48" borderId="27" xfId="0" applyNumberFormat="1" applyFont="1" applyFill="1" applyBorder="1" applyAlignment="1" applyProtection="1">
      <alignment/>
      <protection locked="0"/>
    </xf>
    <xf numFmtId="0" fontId="0" fillId="48" borderId="27" xfId="0" applyNumberFormat="1" applyFont="1" applyFill="1" applyBorder="1" applyAlignment="1" applyProtection="1">
      <alignment horizontal="left"/>
      <protection/>
    </xf>
    <xf numFmtId="164" fontId="0" fillId="48" borderId="27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22" fontId="0" fillId="36" borderId="0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left"/>
    </xf>
    <xf numFmtId="164" fontId="0" fillId="37" borderId="27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2020-1 Downtime by System 
February 2 - May 11, 2020
 Scheduled User Time = 1967 hours     
User downtime = 34.42 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2020-1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0.002245382138660029</c:v>
                </c:pt>
                <c:pt idx="1">
                  <c:v>0</c:v>
                </c:pt>
                <c:pt idx="2">
                  <c:v>0.0014065412642497211</c:v>
                </c:pt>
                <c:pt idx="3">
                  <c:v>0.001525165226232842</c:v>
                </c:pt>
                <c:pt idx="4">
                  <c:v>0</c:v>
                </c:pt>
                <c:pt idx="5">
                  <c:v>0</c:v>
                </c:pt>
                <c:pt idx="6">
                  <c:v>0.00034739874595355756</c:v>
                </c:pt>
                <c:pt idx="7">
                  <c:v>0.0024826300627150467</c:v>
                </c:pt>
                <c:pt idx="8">
                  <c:v>0</c:v>
                </c:pt>
                <c:pt idx="9">
                  <c:v>0.0014658532451968934</c:v>
                </c:pt>
                <c:pt idx="10">
                  <c:v>0.0007964751737210738</c:v>
                </c:pt>
                <c:pt idx="11">
                  <c:v>0</c:v>
                </c:pt>
                <c:pt idx="12">
                  <c:v>0</c:v>
                </c:pt>
                <c:pt idx="13">
                  <c:v>0.004372140315248161</c:v>
                </c:pt>
                <c:pt idx="14">
                  <c:v>0</c:v>
                </c:pt>
                <c:pt idx="15">
                  <c:v>0.0015929503474421476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23375004"/>
        <c:axId val="9048445"/>
      </c:bar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8445"/>
        <c:crosses val="autoZero"/>
        <c:auto val="1"/>
        <c:lblOffset val="100"/>
        <c:tickLblSkip val="1"/>
        <c:noMultiLvlLbl val="0"/>
      </c:catAx>
      <c:valAx>
        <c:axId val="904844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5004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2020-1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725"/>
          <c:w val="0.93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2020-1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0.06209305333967134</c:v>
                </c:pt>
                <c:pt idx="1">
                  <c:v>0</c:v>
                </c:pt>
                <c:pt idx="2">
                  <c:v>0.024837221335868537</c:v>
                </c:pt>
                <c:pt idx="3">
                  <c:v>0.024837221335868537</c:v>
                </c:pt>
                <c:pt idx="4">
                  <c:v>0</c:v>
                </c:pt>
                <c:pt idx="5">
                  <c:v>0</c:v>
                </c:pt>
                <c:pt idx="6">
                  <c:v>0.012418610667934269</c:v>
                </c:pt>
                <c:pt idx="7">
                  <c:v>0</c:v>
                </c:pt>
                <c:pt idx="8">
                  <c:v>0</c:v>
                </c:pt>
                <c:pt idx="9">
                  <c:v>0.012418610667934269</c:v>
                </c:pt>
                <c:pt idx="10">
                  <c:v>0</c:v>
                </c:pt>
                <c:pt idx="11">
                  <c:v>0</c:v>
                </c:pt>
                <c:pt idx="13">
                  <c:v>0.012418610667934269</c:v>
                </c:pt>
                <c:pt idx="14">
                  <c:v>0.012418610667934269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14327142"/>
        <c:axId val="61835415"/>
      </c:bar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5415"/>
        <c:crossesAt val="0"/>
        <c:auto val="1"/>
        <c:lblOffset val="100"/>
        <c:tickLblSkip val="1"/>
        <c:noMultiLvlLbl val="0"/>
      </c:catAx>
      <c:valAx>
        <c:axId val="6183541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42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111</xdr:row>
      <xdr:rowOff>76200</xdr:rowOff>
    </xdr:from>
    <xdr:to>
      <xdr:col>11</xdr:col>
      <xdr:colOff>85725</xdr:colOff>
      <xdr:row>112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9716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70</xdr:row>
      <xdr:rowOff>114300</xdr:rowOff>
    </xdr:from>
    <xdr:to>
      <xdr:col>11</xdr:col>
      <xdr:colOff>9525</xdr:colOff>
      <xdr:row>71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3049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71</xdr:row>
      <xdr:rowOff>114300</xdr:rowOff>
    </xdr:from>
    <xdr:to>
      <xdr:col>11</xdr:col>
      <xdr:colOff>9525</xdr:colOff>
      <xdr:row>72</xdr:row>
      <xdr:rowOff>114300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9277350" y="1322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71</xdr:row>
      <xdr:rowOff>114300</xdr:rowOff>
    </xdr:from>
    <xdr:to>
      <xdr:col>11</xdr:col>
      <xdr:colOff>9525</xdr:colOff>
      <xdr:row>72</xdr:row>
      <xdr:rowOff>114300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9277350" y="1322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PS"/>
        <m/>
        <s v="HP"/>
        <s v="ComEd"/>
        <s v="MCR"/>
        <s v="RF"/>
        <s v="MOM"/>
        <s v="AOP"/>
        <s v="OTH"/>
        <s v="FAC"/>
        <s v="CTL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6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1"/>
        <item x="0"/>
        <item x="5"/>
        <item x="6"/>
        <item x="7"/>
        <item x="10"/>
        <item x="8"/>
        <item x="4"/>
        <item x="9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78" sqref="D78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10.42187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7" t="s">
        <v>71</v>
      </c>
      <c r="B2" s="197"/>
      <c r="C2" s="197"/>
      <c r="D2" s="197"/>
      <c r="E2" s="197"/>
      <c r="F2" s="197"/>
      <c r="G2" s="197"/>
      <c r="H2" s="197"/>
      <c r="I2" s="197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33" customFormat="1" ht="12.75">
      <c r="A6" s="134">
        <v>1</v>
      </c>
      <c r="B6" s="135">
        <v>43865.333333333336</v>
      </c>
      <c r="C6" s="159">
        <v>43870.90416666667</v>
      </c>
      <c r="D6" s="136">
        <f>(C6-B6)*24</f>
        <v>133.69999999995343</v>
      </c>
      <c r="E6" s="135" t="s">
        <v>72</v>
      </c>
      <c r="F6" s="137">
        <v>107124</v>
      </c>
      <c r="G6" s="138"/>
      <c r="H6" s="159">
        <v>43870.90416666667</v>
      </c>
      <c r="I6" s="135">
        <v>43870.98472222222</v>
      </c>
      <c r="J6" s="136">
        <f>(I6-H6)*24</f>
        <v>1.9333333333488554</v>
      </c>
      <c r="K6" s="136">
        <f>(I6-H6)*24</f>
        <v>1.9333333333488554</v>
      </c>
      <c r="L6" s="139" t="s">
        <v>22</v>
      </c>
      <c r="M6" s="140" t="s">
        <v>22</v>
      </c>
      <c r="N6" s="140" t="s">
        <v>22</v>
      </c>
      <c r="O6" s="141" t="s">
        <v>17</v>
      </c>
      <c r="P6" s="135"/>
      <c r="Q6" s="130">
        <f aca="true" t="shared" si="0" ref="Q6:Q66">IF($O6="Store Lost",1,"")</f>
        <v>1</v>
      </c>
      <c r="R6" s="130">
        <f aca="true" t="shared" si="1" ref="R6:R66">IF($O6="Scheduled",1,"")</f>
      </c>
      <c r="S6" s="130">
        <f aca="true" t="shared" si="2" ref="S6:S66">IF($O6="Inhibits beam to user",1,"")</f>
      </c>
      <c r="T6" s="131">
        <f aca="true" t="shared" si="3" ref="T6:T12">SUM(Q6:S6)</f>
        <v>1</v>
      </c>
      <c r="U6" s="132"/>
      <c r="V6" s="132"/>
      <c r="W6" s="132"/>
    </row>
    <row r="7" spans="1:23" s="118" customFormat="1" ht="15.75" customHeight="1">
      <c r="A7" s="122">
        <v>2</v>
      </c>
      <c r="B7" s="123">
        <v>43870.98472222222</v>
      </c>
      <c r="C7" s="123">
        <v>43871.333333333336</v>
      </c>
      <c r="D7" s="154">
        <f>(C7-B7)*24</f>
        <v>8.36666666669771</v>
      </c>
      <c r="E7" s="123" t="s">
        <v>67</v>
      </c>
      <c r="F7" s="125"/>
      <c r="G7" s="126"/>
      <c r="H7" s="123"/>
      <c r="I7" s="123"/>
      <c r="J7" s="154">
        <f>(I7-H7)*24</f>
        <v>0</v>
      </c>
      <c r="K7" s="154">
        <f>(I7-H7)*24</f>
        <v>0</v>
      </c>
      <c r="L7" s="127"/>
      <c r="M7" s="128"/>
      <c r="N7" s="128"/>
      <c r="O7" s="129" t="s">
        <v>21</v>
      </c>
      <c r="P7" s="123"/>
      <c r="Q7" s="130">
        <f t="shared" si="0"/>
      </c>
      <c r="R7" s="130">
        <f t="shared" si="1"/>
        <v>1</v>
      </c>
      <c r="S7" s="130">
        <f t="shared" si="2"/>
      </c>
      <c r="T7" s="131">
        <f t="shared" si="3"/>
        <v>1</v>
      </c>
      <c r="U7" s="117"/>
      <c r="V7" s="117"/>
      <c r="W7" s="117"/>
    </row>
    <row r="8" spans="1:23" s="153" customFormat="1" ht="12.75">
      <c r="A8" s="142"/>
      <c r="B8" s="143"/>
      <c r="C8" s="143"/>
      <c r="D8" s="144">
        <f>SUM(D6:D7)</f>
        <v>142.06666666665114</v>
      </c>
      <c r="E8" s="145"/>
      <c r="F8" s="146"/>
      <c r="G8" s="147"/>
      <c r="H8" s="148"/>
      <c r="I8" s="148"/>
      <c r="J8" s="149">
        <f>SUM(J6:J7)</f>
        <v>1.9333333333488554</v>
      </c>
      <c r="K8" s="149">
        <f>SUM(K6:K7)</f>
        <v>1.9333333333488554</v>
      </c>
      <c r="L8" s="150"/>
      <c r="M8" s="151"/>
      <c r="N8" s="151"/>
      <c r="O8" s="152"/>
      <c r="P8" s="145"/>
      <c r="Q8" s="130">
        <f t="shared" si="0"/>
      </c>
      <c r="R8" s="130">
        <f t="shared" si="1"/>
      </c>
      <c r="S8" s="130">
        <f t="shared" si="2"/>
      </c>
      <c r="T8" s="131">
        <f t="shared" si="3"/>
        <v>0</v>
      </c>
      <c r="U8" s="30"/>
      <c r="V8" s="30"/>
      <c r="W8" s="30"/>
    </row>
    <row r="9" spans="1:23" s="133" customFormat="1" ht="12.75">
      <c r="A9" s="122">
        <v>3</v>
      </c>
      <c r="B9" s="123">
        <v>43872.333333333336</v>
      </c>
      <c r="C9" s="123">
        <v>43875.529861111114</v>
      </c>
      <c r="D9" s="124">
        <f>(C9-B9)*24</f>
        <v>76.71666666667443</v>
      </c>
      <c r="E9" s="123" t="s">
        <v>74</v>
      </c>
      <c r="F9" s="125">
        <v>107128</v>
      </c>
      <c r="G9" s="126"/>
      <c r="H9" s="123">
        <v>43875.529861111114</v>
      </c>
      <c r="I9" s="123">
        <v>43875.558333333334</v>
      </c>
      <c r="J9" s="154">
        <f>(I9-H9)*24</f>
        <v>0.6833333332906477</v>
      </c>
      <c r="K9" s="154">
        <f>SUM(I9-H9)*24</f>
        <v>0.6833333332906477</v>
      </c>
      <c r="L9" s="127" t="s">
        <v>70</v>
      </c>
      <c r="M9" s="128" t="s">
        <v>70</v>
      </c>
      <c r="N9" s="128" t="s">
        <v>70</v>
      </c>
      <c r="O9" s="129" t="s">
        <v>17</v>
      </c>
      <c r="P9" s="123"/>
      <c r="Q9" s="130">
        <f t="shared" si="0"/>
        <v>1</v>
      </c>
      <c r="R9" s="130">
        <f t="shared" si="1"/>
      </c>
      <c r="S9" s="130">
        <f t="shared" si="2"/>
      </c>
      <c r="T9" s="131">
        <f t="shared" si="3"/>
        <v>1</v>
      </c>
      <c r="U9" s="132"/>
      <c r="V9" s="132"/>
      <c r="W9" s="132"/>
    </row>
    <row r="10" spans="1:23" s="133" customFormat="1" ht="12.75">
      <c r="A10" s="134">
        <v>4</v>
      </c>
      <c r="B10" s="135">
        <v>43875.558333333334</v>
      </c>
      <c r="C10" s="159">
        <v>43876.21805555555</v>
      </c>
      <c r="D10" s="136">
        <f>(C10-B10)*24</f>
        <v>15.833333333255723</v>
      </c>
      <c r="E10" s="135" t="s">
        <v>75</v>
      </c>
      <c r="F10" s="137">
        <v>107129</v>
      </c>
      <c r="G10" s="138"/>
      <c r="H10" s="159">
        <v>43876.21805555555</v>
      </c>
      <c r="I10" s="159">
        <v>43876.57638888889</v>
      </c>
      <c r="J10" s="136">
        <f>(I10-H10)*24</f>
        <v>8.600000000093132</v>
      </c>
      <c r="K10" s="136">
        <f>(I10-H10)*24</f>
        <v>8.600000000093132</v>
      </c>
      <c r="L10" s="139" t="s">
        <v>106</v>
      </c>
      <c r="M10" s="140" t="s">
        <v>106</v>
      </c>
      <c r="N10" s="140" t="s">
        <v>106</v>
      </c>
      <c r="O10" s="141" t="s">
        <v>17</v>
      </c>
      <c r="P10" s="135"/>
      <c r="Q10" s="130">
        <f t="shared" si="0"/>
        <v>1</v>
      </c>
      <c r="R10" s="130">
        <f t="shared" si="1"/>
      </c>
      <c r="S10" s="130">
        <f t="shared" si="2"/>
      </c>
      <c r="T10" s="131">
        <f t="shared" si="3"/>
        <v>1</v>
      </c>
      <c r="U10" s="132"/>
      <c r="V10" s="132"/>
      <c r="W10" s="132"/>
    </row>
    <row r="11" spans="1:23" s="118" customFormat="1" ht="15.75" customHeight="1">
      <c r="A11" s="122">
        <v>5</v>
      </c>
      <c r="B11" s="123">
        <v>43876.57638888889</v>
      </c>
      <c r="C11" s="123">
        <v>43878.333333333336</v>
      </c>
      <c r="D11" s="154">
        <f>(C11-B11)*24</f>
        <v>42.16666666668607</v>
      </c>
      <c r="E11" s="123" t="s">
        <v>67</v>
      </c>
      <c r="F11" s="125"/>
      <c r="G11" s="126"/>
      <c r="H11" s="123"/>
      <c r="I11" s="123"/>
      <c r="J11" s="154">
        <f>(I11-H11)*24</f>
        <v>0</v>
      </c>
      <c r="K11" s="154">
        <f>(I11-H11)*24</f>
        <v>0</v>
      </c>
      <c r="L11" s="127"/>
      <c r="M11" s="128"/>
      <c r="N11" s="128"/>
      <c r="O11" s="129" t="s">
        <v>21</v>
      </c>
      <c r="P11" s="123"/>
      <c r="Q11" s="130">
        <f t="shared" si="0"/>
      </c>
      <c r="R11" s="130">
        <f t="shared" si="1"/>
        <v>1</v>
      </c>
      <c r="S11" s="130">
        <f t="shared" si="2"/>
      </c>
      <c r="T11" s="131">
        <f t="shared" si="3"/>
        <v>1</v>
      </c>
      <c r="U11" s="117"/>
      <c r="V11" s="117"/>
      <c r="W11" s="117"/>
    </row>
    <row r="12" spans="1:23" s="153" customFormat="1" ht="12.75">
      <c r="A12" s="142"/>
      <c r="B12" s="143"/>
      <c r="C12" s="143"/>
      <c r="D12" s="144">
        <f>SUM(D9:D11)</f>
        <v>134.71666666661622</v>
      </c>
      <c r="E12" s="145"/>
      <c r="F12" s="146"/>
      <c r="G12" s="147"/>
      <c r="H12" s="148"/>
      <c r="I12" s="148"/>
      <c r="J12" s="149">
        <f>SUM(J9:J11)</f>
        <v>9.28333333338378</v>
      </c>
      <c r="K12" s="149">
        <f>SUM(K9:K11)</f>
        <v>9.28333333338378</v>
      </c>
      <c r="L12" s="150"/>
      <c r="M12" s="151"/>
      <c r="N12" s="151"/>
      <c r="O12" s="152"/>
      <c r="P12" s="145"/>
      <c r="Q12" s="130">
        <f t="shared" si="0"/>
      </c>
      <c r="R12" s="130">
        <f t="shared" si="1"/>
      </c>
      <c r="S12" s="130">
        <f t="shared" si="2"/>
      </c>
      <c r="T12" s="131">
        <f t="shared" si="3"/>
        <v>0</v>
      </c>
      <c r="U12" s="30"/>
      <c r="V12" s="30"/>
      <c r="W12" s="30"/>
    </row>
    <row r="13" spans="1:23" s="118" customFormat="1" ht="15.75" customHeight="1">
      <c r="A13" s="122">
        <v>6</v>
      </c>
      <c r="B13" s="123">
        <v>43879.333333333336</v>
      </c>
      <c r="C13" s="123">
        <v>43885.333333333336</v>
      </c>
      <c r="D13" s="154">
        <f>(C13-B13)*24</f>
        <v>144</v>
      </c>
      <c r="E13" s="123" t="s">
        <v>67</v>
      </c>
      <c r="F13" s="125"/>
      <c r="G13" s="126"/>
      <c r="H13" s="123"/>
      <c r="I13" s="123"/>
      <c r="J13" s="154">
        <f>(I13-H13)*24</f>
        <v>0</v>
      </c>
      <c r="K13" s="154">
        <f>(I13-H13)*24</f>
        <v>0</v>
      </c>
      <c r="L13" s="127"/>
      <c r="M13" s="128"/>
      <c r="N13" s="128"/>
      <c r="O13" s="129" t="s">
        <v>21</v>
      </c>
      <c r="P13" s="123"/>
      <c r="Q13" s="130">
        <f t="shared" si="0"/>
      </c>
      <c r="R13" s="130">
        <f t="shared" si="1"/>
        <v>1</v>
      </c>
      <c r="S13" s="130">
        <f t="shared" si="2"/>
      </c>
      <c r="T13" s="131">
        <f aca="true" t="shared" si="4" ref="T13:T19">SUM(Q13:S13)</f>
        <v>1</v>
      </c>
      <c r="U13" s="117"/>
      <c r="V13" s="117"/>
      <c r="W13" s="117"/>
    </row>
    <row r="14" spans="1:23" s="153" customFormat="1" ht="12.75">
      <c r="A14" s="142"/>
      <c r="B14" s="143"/>
      <c r="C14" s="143"/>
      <c r="D14" s="144">
        <f>SUM(D13:D13)</f>
        <v>144</v>
      </c>
      <c r="E14" s="145"/>
      <c r="F14" s="146"/>
      <c r="G14" s="147"/>
      <c r="H14" s="148"/>
      <c r="I14" s="148"/>
      <c r="J14" s="149">
        <f>SUM(J13:J13)</f>
        <v>0</v>
      </c>
      <c r="K14" s="149">
        <f>SUM(K13:K13)</f>
        <v>0</v>
      </c>
      <c r="L14" s="150"/>
      <c r="M14" s="151"/>
      <c r="N14" s="151"/>
      <c r="O14" s="152"/>
      <c r="P14" s="145"/>
      <c r="Q14" s="130">
        <f t="shared" si="0"/>
      </c>
      <c r="R14" s="130">
        <f t="shared" si="1"/>
      </c>
      <c r="S14" s="130">
        <f t="shared" si="2"/>
      </c>
      <c r="T14" s="131">
        <f t="shared" si="4"/>
        <v>0</v>
      </c>
      <c r="U14" s="30"/>
      <c r="V14" s="30"/>
      <c r="W14" s="30"/>
    </row>
    <row r="15" spans="1:23" s="118" customFormat="1" ht="15.75" customHeight="1">
      <c r="A15" s="122">
        <v>7</v>
      </c>
      <c r="B15" s="123">
        <v>43886.333333333336</v>
      </c>
      <c r="C15" s="123">
        <v>43892.333333333336</v>
      </c>
      <c r="D15" s="154">
        <f>(C15-B15)*24</f>
        <v>144</v>
      </c>
      <c r="E15" s="123" t="s">
        <v>67</v>
      </c>
      <c r="F15" s="125"/>
      <c r="G15" s="126"/>
      <c r="H15" s="123"/>
      <c r="I15" s="123"/>
      <c r="J15" s="154">
        <f>(I15-H15)*24</f>
        <v>0</v>
      </c>
      <c r="K15" s="154">
        <f>(I15-H15)*24</f>
        <v>0</v>
      </c>
      <c r="L15" s="127"/>
      <c r="M15" s="128"/>
      <c r="N15" s="128"/>
      <c r="O15" s="129" t="s">
        <v>21</v>
      </c>
      <c r="P15" s="123"/>
      <c r="Q15" s="130">
        <f t="shared" si="0"/>
      </c>
      <c r="R15" s="130">
        <f t="shared" si="1"/>
        <v>1</v>
      </c>
      <c r="S15" s="130">
        <f t="shared" si="2"/>
      </c>
      <c r="T15" s="131">
        <f t="shared" si="4"/>
        <v>1</v>
      </c>
      <c r="U15" s="117"/>
      <c r="V15" s="117"/>
      <c r="W15" s="117"/>
    </row>
    <row r="16" spans="1:23" s="153" customFormat="1" ht="12.75">
      <c r="A16" s="142"/>
      <c r="B16" s="143"/>
      <c r="C16" s="143"/>
      <c r="D16" s="144">
        <f>SUM(D15:D15)</f>
        <v>144</v>
      </c>
      <c r="E16" s="145"/>
      <c r="F16" s="146"/>
      <c r="G16" s="147"/>
      <c r="H16" s="148"/>
      <c r="I16" s="148"/>
      <c r="J16" s="149">
        <f>SUM(J15:J15)</f>
        <v>0</v>
      </c>
      <c r="K16" s="149">
        <f>SUM(K15:K15)</f>
        <v>0</v>
      </c>
      <c r="L16" s="150"/>
      <c r="M16" s="151"/>
      <c r="N16" s="151"/>
      <c r="O16" s="152"/>
      <c r="P16" s="145"/>
      <c r="Q16" s="130">
        <f t="shared" si="0"/>
      </c>
      <c r="R16" s="130">
        <f t="shared" si="1"/>
      </c>
      <c r="S16" s="130">
        <f t="shared" si="2"/>
      </c>
      <c r="T16" s="131">
        <f t="shared" si="4"/>
        <v>0</v>
      </c>
      <c r="U16" s="30"/>
      <c r="V16" s="30"/>
      <c r="W16" s="30"/>
    </row>
    <row r="17" spans="1:23" s="133" customFormat="1" ht="12.75">
      <c r="A17" s="134">
        <v>8</v>
      </c>
      <c r="B17" s="135">
        <v>43893.333333333336</v>
      </c>
      <c r="C17" s="159">
        <v>43897.52638888889</v>
      </c>
      <c r="D17" s="136">
        <f>(C17-B17)*24</f>
        <v>100.63333333324408</v>
      </c>
      <c r="E17" s="118" t="s">
        <v>82</v>
      </c>
      <c r="F17" s="137">
        <v>107155</v>
      </c>
      <c r="G17" s="138"/>
      <c r="H17" s="159">
        <v>43897.52638888889</v>
      </c>
      <c r="I17" s="159">
        <v>43897.646527777775</v>
      </c>
      <c r="J17" s="136">
        <f>(I17-H17)*24</f>
        <v>2.8833333333022892</v>
      </c>
      <c r="K17" s="136">
        <f>(I17-H17)*24</f>
        <v>2.8833333333022892</v>
      </c>
      <c r="L17" s="139" t="s">
        <v>81</v>
      </c>
      <c r="M17" s="140" t="s">
        <v>81</v>
      </c>
      <c r="N17" s="140" t="s">
        <v>81</v>
      </c>
      <c r="O17" s="141" t="s">
        <v>17</v>
      </c>
      <c r="P17" s="135"/>
      <c r="Q17" s="130">
        <f t="shared" si="0"/>
        <v>1</v>
      </c>
      <c r="R17" s="130">
        <f t="shared" si="1"/>
      </c>
      <c r="S17" s="130">
        <f t="shared" si="2"/>
      </c>
      <c r="T17" s="131">
        <f t="shared" si="4"/>
        <v>1</v>
      </c>
      <c r="U17" s="132"/>
      <c r="V17" s="132"/>
      <c r="W17" s="132"/>
    </row>
    <row r="18" spans="1:23" s="118" customFormat="1" ht="15.75" customHeight="1">
      <c r="A18" s="122">
        <v>10</v>
      </c>
      <c r="B18" s="123">
        <v>43897.646527777775</v>
      </c>
      <c r="C18" s="123">
        <v>43899.333333333336</v>
      </c>
      <c r="D18" s="154">
        <f>(C18-B18)*24-1</f>
        <v>39.48333333345363</v>
      </c>
      <c r="E18" s="123" t="s">
        <v>67</v>
      </c>
      <c r="F18" s="125"/>
      <c r="G18" s="126"/>
      <c r="H18" s="123"/>
      <c r="I18" s="123"/>
      <c r="J18" s="154">
        <f>(I18-H18)*24</f>
        <v>0</v>
      </c>
      <c r="K18" s="154">
        <f>(I18-H18)*24</f>
        <v>0</v>
      </c>
      <c r="L18" s="127"/>
      <c r="M18" s="128"/>
      <c r="N18" s="128"/>
      <c r="O18" s="129" t="s">
        <v>21</v>
      </c>
      <c r="P18" s="123"/>
      <c r="Q18" s="130">
        <f t="shared" si="0"/>
      </c>
      <c r="R18" s="130">
        <f t="shared" si="1"/>
        <v>1</v>
      </c>
      <c r="S18" s="130">
        <f t="shared" si="2"/>
      </c>
      <c r="T18" s="131">
        <f t="shared" si="4"/>
        <v>1</v>
      </c>
      <c r="U18" s="117"/>
      <c r="V18" s="117"/>
      <c r="W18" s="117"/>
    </row>
    <row r="19" spans="1:23" s="153" customFormat="1" ht="12.75">
      <c r="A19" s="142"/>
      <c r="B19" s="143"/>
      <c r="C19" s="143"/>
      <c r="D19" s="144">
        <f>SUM(D17:D18)</f>
        <v>140.1166666666977</v>
      </c>
      <c r="E19" s="145"/>
      <c r="F19" s="146"/>
      <c r="G19" s="147"/>
      <c r="H19" s="148"/>
      <c r="I19" s="148"/>
      <c r="J19" s="149">
        <f>SUM(J17:J18)</f>
        <v>2.8833333333022892</v>
      </c>
      <c r="K19" s="149">
        <f>SUM(K17:K18)</f>
        <v>2.8833333333022892</v>
      </c>
      <c r="L19" s="150"/>
      <c r="M19" s="151"/>
      <c r="N19" s="151"/>
      <c r="O19" s="152"/>
      <c r="P19" s="145"/>
      <c r="Q19" s="130">
        <f t="shared" si="0"/>
      </c>
      <c r="R19" s="130">
        <f t="shared" si="1"/>
      </c>
      <c r="S19" s="130">
        <f t="shared" si="2"/>
      </c>
      <c r="T19" s="131">
        <f t="shared" si="4"/>
        <v>0</v>
      </c>
      <c r="U19" s="30"/>
      <c r="V19" s="30"/>
      <c r="W19" s="30"/>
    </row>
    <row r="20" spans="1:23" s="133" customFormat="1" ht="12.75">
      <c r="A20" s="134">
        <v>11</v>
      </c>
      <c r="B20" s="135">
        <v>43900.333333333336</v>
      </c>
      <c r="C20" s="193">
        <v>43903.52569444444</v>
      </c>
      <c r="D20" s="136">
        <f>(C20-B20)*24</f>
        <v>76.61666666652309</v>
      </c>
      <c r="E20" s="135" t="s">
        <v>77</v>
      </c>
      <c r="F20" s="137">
        <v>107156</v>
      </c>
      <c r="G20" s="138"/>
      <c r="H20" s="159">
        <v>43903.52569444444</v>
      </c>
      <c r="I20" s="159">
        <v>43903.75</v>
      </c>
      <c r="J20" s="136">
        <f>(I20-H20)*24</f>
        <v>5.383333333418705</v>
      </c>
      <c r="K20" s="136"/>
      <c r="L20" s="139"/>
      <c r="M20" s="140"/>
      <c r="N20" s="140"/>
      <c r="O20" s="141"/>
      <c r="P20" s="135"/>
      <c r="Q20" s="130">
        <f t="shared" si="0"/>
      </c>
      <c r="R20" s="130">
        <f t="shared" si="1"/>
      </c>
      <c r="S20" s="130">
        <f t="shared" si="2"/>
      </c>
      <c r="T20" s="131">
        <f aca="true" t="shared" si="5" ref="T20:T25">SUM(Q20:S20)</f>
        <v>0</v>
      </c>
      <c r="U20" s="132"/>
      <c r="V20" s="132"/>
      <c r="W20" s="132"/>
    </row>
    <row r="21" spans="1:23" s="133" customFormat="1" ht="12.75">
      <c r="A21" s="134"/>
      <c r="B21" s="135"/>
      <c r="C21" s="160"/>
      <c r="D21" s="136"/>
      <c r="E21" s="135"/>
      <c r="F21" s="137"/>
      <c r="G21" s="138"/>
      <c r="H21" s="161">
        <v>43903.52569444444</v>
      </c>
      <c r="I21" s="162">
        <v>43903.54652777778</v>
      </c>
      <c r="J21" s="163"/>
      <c r="K21" s="163">
        <f>(I21-H21)*24</f>
        <v>0.5000000000582077</v>
      </c>
      <c r="L21" s="164" t="s">
        <v>23</v>
      </c>
      <c r="M21" s="165" t="s">
        <v>23</v>
      </c>
      <c r="N21" s="165" t="s">
        <v>23</v>
      </c>
      <c r="O21" s="166" t="s">
        <v>17</v>
      </c>
      <c r="P21" s="167" t="s">
        <v>78</v>
      </c>
      <c r="Q21" s="130">
        <f>IF($O21="Store Lost",1,"")</f>
        <v>1</v>
      </c>
      <c r="R21" s="130">
        <f>IF($O21="Scheduled",1,"")</f>
      </c>
      <c r="S21" s="130">
        <f>IF($O21="Inhibits beam to user",1,"")</f>
      </c>
      <c r="T21" s="131">
        <f>SUM(Q21:S21)</f>
        <v>1</v>
      </c>
      <c r="U21" s="132"/>
      <c r="V21" s="132"/>
      <c r="W21" s="132"/>
    </row>
    <row r="22" spans="1:23" s="133" customFormat="1" ht="12.75">
      <c r="A22" s="134"/>
      <c r="B22" s="135"/>
      <c r="C22" s="160"/>
      <c r="D22" s="136"/>
      <c r="E22" s="135"/>
      <c r="F22" s="137"/>
      <c r="G22" s="138"/>
      <c r="H22" s="168">
        <v>43903.54652777778</v>
      </c>
      <c r="I22" s="169">
        <v>43903.75</v>
      </c>
      <c r="J22" s="170"/>
      <c r="K22" s="170">
        <f>(I22-H22)*24</f>
        <v>4.883333333360497</v>
      </c>
      <c r="L22" s="171" t="s">
        <v>24</v>
      </c>
      <c r="M22" s="172" t="s">
        <v>24</v>
      </c>
      <c r="N22" s="172" t="s">
        <v>24</v>
      </c>
      <c r="O22" s="173" t="s">
        <v>66</v>
      </c>
      <c r="P22" s="174" t="s">
        <v>79</v>
      </c>
      <c r="Q22" s="130">
        <f>IF($O22="Store Lost",1,"")</f>
      </c>
      <c r="R22" s="130">
        <f>IF($O22="Scheduled",1,"")</f>
      </c>
      <c r="S22" s="130">
        <f>IF($O22="Inhibits beam to user",1,"")</f>
        <v>1</v>
      </c>
      <c r="T22" s="131">
        <f>SUM(Q22:S22)</f>
        <v>1</v>
      </c>
      <c r="U22" s="132"/>
      <c r="V22" s="132"/>
      <c r="W22" s="132"/>
    </row>
    <row r="23" spans="1:23" s="118" customFormat="1" ht="15.75" customHeight="1">
      <c r="A23" s="122">
        <v>12</v>
      </c>
      <c r="B23" s="123">
        <v>43903.75</v>
      </c>
      <c r="C23" s="123">
        <v>43906.333333333336</v>
      </c>
      <c r="D23" s="154">
        <f>(C23-B23)*24</f>
        <v>62.00000000005821</v>
      </c>
      <c r="E23" s="123" t="s">
        <v>67</v>
      </c>
      <c r="F23" s="125"/>
      <c r="G23" s="126"/>
      <c r="H23" s="123"/>
      <c r="I23" s="123"/>
      <c r="J23" s="154">
        <f>(I23-H23)*24</f>
        <v>0</v>
      </c>
      <c r="K23" s="154">
        <f>(I23-H23)*24</f>
        <v>0</v>
      </c>
      <c r="L23" s="127"/>
      <c r="M23" s="128"/>
      <c r="N23" s="128"/>
      <c r="O23" s="129" t="s">
        <v>21</v>
      </c>
      <c r="P23" s="123"/>
      <c r="Q23" s="130">
        <f t="shared" si="0"/>
      </c>
      <c r="R23" s="130">
        <f t="shared" si="1"/>
        <v>1</v>
      </c>
      <c r="S23" s="130">
        <f t="shared" si="2"/>
      </c>
      <c r="T23" s="131">
        <f t="shared" si="5"/>
        <v>1</v>
      </c>
      <c r="U23" s="117"/>
      <c r="V23" s="117"/>
      <c r="W23" s="117"/>
    </row>
    <row r="24" spans="1:23" s="153" customFormat="1" ht="12.75">
      <c r="A24" s="142"/>
      <c r="B24" s="143"/>
      <c r="C24" s="143"/>
      <c r="D24" s="144">
        <f>SUM(D20:D23)</f>
        <v>138.6166666665813</v>
      </c>
      <c r="E24" s="145"/>
      <c r="F24" s="146"/>
      <c r="G24" s="147"/>
      <c r="H24" s="148"/>
      <c r="I24" s="148"/>
      <c r="J24" s="149">
        <f>SUM(J20:J23)</f>
        <v>5.383333333418705</v>
      </c>
      <c r="K24" s="149">
        <f>SUM(K20:K23)</f>
        <v>5.383333333418705</v>
      </c>
      <c r="L24" s="150"/>
      <c r="M24" s="151"/>
      <c r="N24" s="151"/>
      <c r="O24" s="152"/>
      <c r="P24" s="145"/>
      <c r="Q24" s="130">
        <f t="shared" si="0"/>
      </c>
      <c r="R24" s="130">
        <f t="shared" si="1"/>
      </c>
      <c r="S24" s="130">
        <f t="shared" si="2"/>
      </c>
      <c r="T24" s="131">
        <f t="shared" si="5"/>
        <v>0</v>
      </c>
      <c r="U24" s="30"/>
      <c r="V24" s="30"/>
      <c r="W24" s="30"/>
    </row>
    <row r="25" spans="1:23" s="133" customFormat="1" ht="12.75">
      <c r="A25" s="122"/>
      <c r="B25" s="123"/>
      <c r="C25" s="123"/>
      <c r="D25" s="124">
        <f>(C25-B25)*24</f>
        <v>0</v>
      </c>
      <c r="E25" s="123" t="s">
        <v>76</v>
      </c>
      <c r="F25" s="125">
        <v>107157</v>
      </c>
      <c r="G25" s="126"/>
      <c r="H25" s="123">
        <v>43908.333333333336</v>
      </c>
      <c r="I25" s="123">
        <v>43908.39166666667</v>
      </c>
      <c r="J25" s="154">
        <f>(I25-H25)*24</f>
        <v>1.400000000023283</v>
      </c>
      <c r="K25" s="154">
        <f>SUM(I25-H25)*24</f>
        <v>1.400000000023283</v>
      </c>
      <c r="L25" s="127" t="s">
        <v>65</v>
      </c>
      <c r="M25" s="128" t="s">
        <v>65</v>
      </c>
      <c r="N25" s="128" t="s">
        <v>65</v>
      </c>
      <c r="O25" s="129" t="s">
        <v>66</v>
      </c>
      <c r="P25" s="123" t="s">
        <v>80</v>
      </c>
      <c r="Q25" s="130">
        <f t="shared" si="0"/>
      </c>
      <c r="R25" s="130">
        <f t="shared" si="1"/>
      </c>
      <c r="S25" s="130">
        <f t="shared" si="2"/>
        <v>1</v>
      </c>
      <c r="T25" s="131">
        <f t="shared" si="5"/>
        <v>1</v>
      </c>
      <c r="U25" s="132"/>
      <c r="V25" s="132"/>
      <c r="W25" s="132"/>
    </row>
    <row r="26" spans="1:23" s="133" customFormat="1" ht="12.75">
      <c r="A26" s="134">
        <v>13</v>
      </c>
      <c r="B26" s="135">
        <v>43908.39166666667</v>
      </c>
      <c r="C26" s="159">
        <v>43911.22083333333</v>
      </c>
      <c r="D26" s="136">
        <f>(C26-B26)*24</f>
        <v>67.89999999990687</v>
      </c>
      <c r="E26" s="135" t="s">
        <v>73</v>
      </c>
      <c r="F26" s="137">
        <v>107158</v>
      </c>
      <c r="G26" s="138"/>
      <c r="H26" s="159">
        <v>43911.22083333333</v>
      </c>
      <c r="I26" s="159">
        <v>43911.29652777778</v>
      </c>
      <c r="J26" s="136">
        <f>(I26-H26)*24</f>
        <v>1.8166666666511446</v>
      </c>
      <c r="K26" s="136">
        <f>(I26-H26)*24</f>
        <v>1.8166666666511446</v>
      </c>
      <c r="L26" s="139" t="s">
        <v>23</v>
      </c>
      <c r="M26" s="140" t="s">
        <v>23</v>
      </c>
      <c r="N26" s="140" t="s">
        <v>23</v>
      </c>
      <c r="O26" s="141" t="s">
        <v>17</v>
      </c>
      <c r="P26" s="135"/>
      <c r="Q26" s="130">
        <f t="shared" si="0"/>
        <v>1</v>
      </c>
      <c r="R26" s="130">
        <f t="shared" si="1"/>
      </c>
      <c r="S26" s="130">
        <f t="shared" si="2"/>
      </c>
      <c r="T26" s="131">
        <f>SUM(Q26:S26)</f>
        <v>1</v>
      </c>
      <c r="U26" s="132"/>
      <c r="V26" s="132"/>
      <c r="W26" s="132"/>
    </row>
    <row r="27" spans="1:23" s="118" customFormat="1" ht="15.75" customHeight="1">
      <c r="A27" s="122">
        <v>14</v>
      </c>
      <c r="B27" s="123">
        <v>43911.29652777778</v>
      </c>
      <c r="C27" s="123">
        <v>43913.333333333336</v>
      </c>
      <c r="D27" s="154">
        <f>(C27-B27)*24</f>
        <v>48.883333333418705</v>
      </c>
      <c r="E27" s="123" t="s">
        <v>67</v>
      </c>
      <c r="F27" s="125"/>
      <c r="G27" s="126"/>
      <c r="H27" s="123"/>
      <c r="I27" s="123"/>
      <c r="J27" s="154">
        <f>(I27-H27)*24</f>
        <v>0</v>
      </c>
      <c r="K27" s="154">
        <f>(I27-H27)*24</f>
        <v>0</v>
      </c>
      <c r="L27" s="127"/>
      <c r="M27" s="128"/>
      <c r="N27" s="128"/>
      <c r="O27" s="129" t="s">
        <v>21</v>
      </c>
      <c r="P27" s="123"/>
      <c r="Q27" s="130">
        <f t="shared" si="0"/>
      </c>
      <c r="R27" s="130">
        <f t="shared" si="1"/>
        <v>1</v>
      </c>
      <c r="S27" s="130">
        <f t="shared" si="2"/>
      </c>
      <c r="T27" s="131">
        <f>SUM(Q27:S27)</f>
        <v>1</v>
      </c>
      <c r="U27" s="117"/>
      <c r="V27" s="117"/>
      <c r="W27" s="117"/>
    </row>
    <row r="28" spans="1:23" s="153" customFormat="1" ht="12.75">
      <c r="A28" s="142"/>
      <c r="B28" s="143"/>
      <c r="C28" s="143"/>
      <c r="D28" s="144">
        <f>SUM(D26:D27)</f>
        <v>116.78333333332557</v>
      </c>
      <c r="E28" s="145"/>
      <c r="F28" s="146"/>
      <c r="G28" s="147"/>
      <c r="H28" s="148"/>
      <c r="I28" s="148"/>
      <c r="J28" s="149">
        <f>SUM(J25:J27)</f>
        <v>3.2166666666744277</v>
      </c>
      <c r="K28" s="149">
        <f>SUM(K25:K27)</f>
        <v>3.2166666666744277</v>
      </c>
      <c r="L28" s="150"/>
      <c r="M28" s="151"/>
      <c r="N28" s="151"/>
      <c r="O28" s="152"/>
      <c r="P28" s="145"/>
      <c r="Q28" s="130">
        <f t="shared" si="0"/>
      </c>
      <c r="R28" s="130">
        <f t="shared" si="1"/>
      </c>
      <c r="S28" s="130">
        <f t="shared" si="2"/>
      </c>
      <c r="T28" s="131">
        <f>SUM(Q28:S28)</f>
        <v>0</v>
      </c>
      <c r="U28" s="30"/>
      <c r="V28" s="30"/>
      <c r="W28" s="30"/>
    </row>
    <row r="29" spans="1:23" s="153" customFormat="1" ht="12.75">
      <c r="A29" s="134">
        <v>15</v>
      </c>
      <c r="B29" s="194">
        <v>43914.333333333336</v>
      </c>
      <c r="C29" s="194">
        <v>43914.510416666664</v>
      </c>
      <c r="D29" s="136">
        <f>(C29-B29)*24</f>
        <v>4.249999999883585</v>
      </c>
      <c r="E29" s="135" t="s">
        <v>83</v>
      </c>
      <c r="F29" s="137">
        <v>107160</v>
      </c>
      <c r="G29" s="138"/>
      <c r="H29" s="194">
        <v>43914.510416666664</v>
      </c>
      <c r="I29" s="194">
        <v>43914.54513888889</v>
      </c>
      <c r="J29" s="136">
        <f>(I29-H29)*24</f>
        <v>0.8333333334303461</v>
      </c>
      <c r="K29" s="136">
        <f>SUM(I29-H29)*24</f>
        <v>0.8333333334303461</v>
      </c>
      <c r="L29" s="139" t="s">
        <v>22</v>
      </c>
      <c r="M29" s="140" t="s">
        <v>22</v>
      </c>
      <c r="N29" s="140" t="s">
        <v>22</v>
      </c>
      <c r="O29" s="141" t="s">
        <v>17</v>
      </c>
      <c r="P29" s="135"/>
      <c r="Q29" s="130">
        <f t="shared" si="0"/>
        <v>1</v>
      </c>
      <c r="R29" s="130">
        <f t="shared" si="1"/>
      </c>
      <c r="S29" s="130">
        <f t="shared" si="2"/>
      </c>
      <c r="T29" s="131">
        <f>SUM(Q29:S29)</f>
        <v>1</v>
      </c>
      <c r="U29" s="30"/>
      <c r="V29" s="30"/>
      <c r="W29" s="30"/>
    </row>
    <row r="30" spans="1:23" s="133" customFormat="1" ht="12.75">
      <c r="A30" s="122">
        <v>16</v>
      </c>
      <c r="B30" s="195">
        <v>43914.54513888889</v>
      </c>
      <c r="C30" s="123">
        <v>43915.666666666664</v>
      </c>
      <c r="D30" s="124">
        <f>(C30-B30)*24</f>
        <v>26.916666666569654</v>
      </c>
      <c r="E30" s="123" t="s">
        <v>84</v>
      </c>
      <c r="F30" s="125">
        <v>107163</v>
      </c>
      <c r="G30" s="126"/>
      <c r="H30" s="123">
        <v>43915.666666666664</v>
      </c>
      <c r="I30" s="123">
        <v>43915.75277777778</v>
      </c>
      <c r="J30" s="154">
        <f>(I30-H30)*24</f>
        <v>2.06666666676756</v>
      </c>
      <c r="K30" s="154">
        <f>SUM(I30-H30)*24</f>
        <v>2.06666666676756</v>
      </c>
      <c r="L30" s="127" t="s">
        <v>86</v>
      </c>
      <c r="M30" s="128" t="s">
        <v>86</v>
      </c>
      <c r="N30" s="128" t="s">
        <v>86</v>
      </c>
      <c r="O30" s="129" t="s">
        <v>17</v>
      </c>
      <c r="P30" s="123"/>
      <c r="Q30" s="130">
        <f t="shared" si="0"/>
        <v>1</v>
      </c>
      <c r="R30" s="130">
        <f t="shared" si="1"/>
      </c>
      <c r="S30" s="130">
        <f t="shared" si="2"/>
      </c>
      <c r="T30" s="131">
        <f aca="true" t="shared" si="6" ref="T30:T36">SUM(Q30:S30)</f>
        <v>1</v>
      </c>
      <c r="U30" s="132"/>
      <c r="V30" s="132"/>
      <c r="W30" s="132"/>
    </row>
    <row r="31" spans="1:23" s="133" customFormat="1" ht="12.75">
      <c r="A31" s="134">
        <v>17</v>
      </c>
      <c r="B31" s="135">
        <v>43915.75277777778</v>
      </c>
      <c r="C31" s="159">
        <v>43916.350694444445</v>
      </c>
      <c r="D31" s="136">
        <f>(C31-B31)*24</f>
        <v>14.349999999976717</v>
      </c>
      <c r="E31" s="135" t="s">
        <v>85</v>
      </c>
      <c r="F31" s="137">
        <v>107162</v>
      </c>
      <c r="G31" s="138"/>
      <c r="H31" s="159">
        <v>43916.350694444445</v>
      </c>
      <c r="I31" s="159">
        <v>43916.45416666667</v>
      </c>
      <c r="J31" s="136">
        <f>(I31-H31)*24</f>
        <v>2.4833333333954215</v>
      </c>
      <c r="K31" s="136">
        <f>(I31-H31)*24</f>
        <v>2.4833333333954215</v>
      </c>
      <c r="L31" s="139" t="s">
        <v>87</v>
      </c>
      <c r="M31" s="140" t="s">
        <v>87</v>
      </c>
      <c r="N31" s="140" t="s">
        <v>87</v>
      </c>
      <c r="O31" s="141" t="s">
        <v>17</v>
      </c>
      <c r="P31" s="135"/>
      <c r="Q31" s="130">
        <f t="shared" si="0"/>
        <v>1</v>
      </c>
      <c r="R31" s="130">
        <f t="shared" si="1"/>
      </c>
      <c r="S31" s="130">
        <f t="shared" si="2"/>
      </c>
      <c r="T31" s="131">
        <f t="shared" si="6"/>
        <v>1</v>
      </c>
      <c r="U31" s="132"/>
      <c r="V31" s="132"/>
      <c r="W31" s="132"/>
    </row>
    <row r="32" spans="1:23" s="118" customFormat="1" ht="15.75" customHeight="1">
      <c r="A32" s="122">
        <v>18</v>
      </c>
      <c r="B32" s="123">
        <v>43916.45416666667</v>
      </c>
      <c r="C32" s="123">
        <v>43920.333333333336</v>
      </c>
      <c r="D32" s="154">
        <f>(C32-B32)*24</f>
        <v>93.09999999997672</v>
      </c>
      <c r="E32" s="123" t="s">
        <v>67</v>
      </c>
      <c r="F32" s="125"/>
      <c r="G32" s="126"/>
      <c r="H32" s="123"/>
      <c r="I32" s="123"/>
      <c r="J32" s="154">
        <f>(I32-H32)*24</f>
        <v>0</v>
      </c>
      <c r="K32" s="154">
        <f>(I32-H32)*24</f>
        <v>0</v>
      </c>
      <c r="L32" s="127"/>
      <c r="M32" s="128"/>
      <c r="N32" s="128"/>
      <c r="O32" s="129" t="s">
        <v>21</v>
      </c>
      <c r="P32" s="123"/>
      <c r="Q32" s="130">
        <f t="shared" si="0"/>
      </c>
      <c r="R32" s="130">
        <f t="shared" si="1"/>
        <v>1</v>
      </c>
      <c r="S32" s="130">
        <f t="shared" si="2"/>
      </c>
      <c r="T32" s="131">
        <f t="shared" si="6"/>
        <v>1</v>
      </c>
      <c r="U32" s="117"/>
      <c r="V32" s="117"/>
      <c r="W32" s="117"/>
    </row>
    <row r="33" spans="1:23" s="153" customFormat="1" ht="12.75">
      <c r="A33" s="142"/>
      <c r="B33" s="143"/>
      <c r="C33" s="143"/>
      <c r="D33" s="144">
        <f>SUM(D29:D32)</f>
        <v>138.61666666640667</v>
      </c>
      <c r="E33" s="145"/>
      <c r="F33" s="146"/>
      <c r="G33" s="147"/>
      <c r="H33" s="148"/>
      <c r="I33" s="148"/>
      <c r="J33" s="149">
        <f>SUM(J29:J32)</f>
        <v>5.3833333335933276</v>
      </c>
      <c r="K33" s="149">
        <f>SUM(K29:K32)</f>
        <v>5.3833333335933276</v>
      </c>
      <c r="L33" s="150"/>
      <c r="M33" s="151"/>
      <c r="N33" s="151"/>
      <c r="O33" s="152"/>
      <c r="P33" s="145"/>
      <c r="Q33" s="130">
        <f t="shared" si="0"/>
      </c>
      <c r="R33" s="130">
        <f t="shared" si="1"/>
      </c>
      <c r="S33" s="130">
        <f t="shared" si="2"/>
      </c>
      <c r="T33" s="131">
        <f t="shared" si="6"/>
        <v>0</v>
      </c>
      <c r="U33" s="30"/>
      <c r="V33" s="30"/>
      <c r="W33" s="30"/>
    </row>
    <row r="34" spans="1:23" s="133" customFormat="1" ht="12.75">
      <c r="A34" s="134">
        <v>19</v>
      </c>
      <c r="B34" s="135">
        <v>43921.333333333336</v>
      </c>
      <c r="C34" s="159">
        <v>43923.847916666666</v>
      </c>
      <c r="D34" s="136">
        <f>(C34-B34)*24</f>
        <v>60.34999999991851</v>
      </c>
      <c r="E34" s="135" t="s">
        <v>88</v>
      </c>
      <c r="F34" s="137">
        <v>107164</v>
      </c>
      <c r="G34" s="138"/>
      <c r="H34" s="159">
        <v>43923.847916666666</v>
      </c>
      <c r="I34" s="135">
        <v>43923.93541666667</v>
      </c>
      <c r="J34" s="136">
        <f>(I34-H34)*24</f>
        <v>2.1000000000349246</v>
      </c>
      <c r="K34" s="136">
        <f>(I34-H34)*24</f>
        <v>2.1000000000349246</v>
      </c>
      <c r="L34" s="139" t="s">
        <v>89</v>
      </c>
      <c r="M34" s="140" t="s">
        <v>89</v>
      </c>
      <c r="N34" s="140" t="s">
        <v>89</v>
      </c>
      <c r="O34" s="141" t="s">
        <v>17</v>
      </c>
      <c r="P34" s="135"/>
      <c r="Q34" s="130">
        <f t="shared" si="0"/>
        <v>1</v>
      </c>
      <c r="R34" s="130">
        <f t="shared" si="1"/>
      </c>
      <c r="S34" s="130">
        <f t="shared" si="2"/>
      </c>
      <c r="T34" s="131">
        <f t="shared" si="6"/>
        <v>1</v>
      </c>
      <c r="U34" s="132"/>
      <c r="V34" s="132"/>
      <c r="W34" s="132"/>
    </row>
    <row r="35" spans="1:23" s="118" customFormat="1" ht="15.75" customHeight="1">
      <c r="A35" s="122">
        <v>20</v>
      </c>
      <c r="B35" s="123">
        <v>43923.93541666667</v>
      </c>
      <c r="C35" s="123">
        <v>43927.333333333336</v>
      </c>
      <c r="D35" s="154">
        <f>(C35-B35)*24</f>
        <v>81.55000000004657</v>
      </c>
      <c r="E35" s="123" t="s">
        <v>67</v>
      </c>
      <c r="F35" s="125"/>
      <c r="G35" s="126"/>
      <c r="H35" s="123"/>
      <c r="I35" s="123"/>
      <c r="J35" s="154">
        <f>(I35-H35)*24</f>
        <v>0</v>
      </c>
      <c r="K35" s="154">
        <f>(I35-H35)*24</f>
        <v>0</v>
      </c>
      <c r="L35" s="127"/>
      <c r="M35" s="128"/>
      <c r="N35" s="128"/>
      <c r="O35" s="129" t="s">
        <v>21</v>
      </c>
      <c r="P35" s="123"/>
      <c r="Q35" s="130">
        <f t="shared" si="0"/>
      </c>
      <c r="R35" s="130">
        <f t="shared" si="1"/>
        <v>1</v>
      </c>
      <c r="S35" s="130">
        <f t="shared" si="2"/>
      </c>
      <c r="T35" s="131">
        <f t="shared" si="6"/>
        <v>1</v>
      </c>
      <c r="U35" s="117"/>
      <c r="V35" s="117"/>
      <c r="W35" s="117"/>
    </row>
    <row r="36" spans="1:23" s="153" customFormat="1" ht="12.75">
      <c r="A36" s="142"/>
      <c r="B36" s="143"/>
      <c r="C36" s="143"/>
      <c r="D36" s="144">
        <f>SUM(D34:D35)</f>
        <v>141.89999999996508</v>
      </c>
      <c r="E36" s="145"/>
      <c r="F36" s="146"/>
      <c r="G36" s="147"/>
      <c r="H36" s="148"/>
      <c r="I36" s="148"/>
      <c r="J36" s="149">
        <f>SUM(J34:J35)</f>
        <v>2.1000000000349246</v>
      </c>
      <c r="K36" s="149">
        <f>SUM(K34:K35)</f>
        <v>2.1000000000349246</v>
      </c>
      <c r="L36" s="150"/>
      <c r="M36" s="151"/>
      <c r="N36" s="151"/>
      <c r="O36" s="152"/>
      <c r="P36" s="145"/>
      <c r="Q36" s="130">
        <f t="shared" si="0"/>
      </c>
      <c r="R36" s="130">
        <f t="shared" si="1"/>
      </c>
      <c r="S36" s="130">
        <f t="shared" si="2"/>
      </c>
      <c r="T36" s="131">
        <f t="shared" si="6"/>
        <v>0</v>
      </c>
      <c r="U36" s="30"/>
      <c r="V36" s="30"/>
      <c r="W36" s="30"/>
    </row>
    <row r="37" spans="1:23" s="133" customFormat="1" ht="12.75">
      <c r="A37" s="134">
        <v>21</v>
      </c>
      <c r="B37" s="135">
        <v>43928.333333333336</v>
      </c>
      <c r="C37" s="159">
        <v>43928.95</v>
      </c>
      <c r="D37" s="136">
        <f>(C37-B37)*24</f>
        <v>14.799999999871943</v>
      </c>
      <c r="E37" s="135" t="s">
        <v>90</v>
      </c>
      <c r="F37" s="137">
        <v>107168</v>
      </c>
      <c r="G37" s="138"/>
      <c r="H37" s="159">
        <v>43928.95</v>
      </c>
      <c r="I37" s="135">
        <v>43928.98402777778</v>
      </c>
      <c r="J37" s="136">
        <f>(I37-H37)*24</f>
        <v>0.8166666667093523</v>
      </c>
      <c r="K37" s="136">
        <f>(I37-H37)*24</f>
        <v>0.8166666667093523</v>
      </c>
      <c r="L37" s="139" t="s">
        <v>23</v>
      </c>
      <c r="M37" s="140" t="s">
        <v>23</v>
      </c>
      <c r="N37" s="140" t="s">
        <v>23</v>
      </c>
      <c r="O37" s="141" t="s">
        <v>17</v>
      </c>
      <c r="P37" s="135"/>
      <c r="Q37" s="130">
        <f t="shared" si="0"/>
        <v>1</v>
      </c>
      <c r="R37" s="130">
        <f t="shared" si="1"/>
      </c>
      <c r="S37" s="130">
        <f t="shared" si="2"/>
      </c>
      <c r="T37" s="131">
        <f aca="true" t="shared" si="7" ref="T37:T45">SUM(Q37:S37)</f>
        <v>1</v>
      </c>
      <c r="U37" s="132"/>
      <c r="V37" s="132"/>
      <c r="W37" s="132"/>
    </row>
    <row r="38" spans="1:23" s="118" customFormat="1" ht="15.75" customHeight="1">
      <c r="A38" s="122">
        <v>22</v>
      </c>
      <c r="B38" s="123">
        <v>43928.98402777778</v>
      </c>
      <c r="C38" s="123">
        <v>43934.333333333336</v>
      </c>
      <c r="D38" s="154">
        <f>(C38-B38)*24</f>
        <v>128.3833333334187</v>
      </c>
      <c r="E38" s="123" t="s">
        <v>67</v>
      </c>
      <c r="F38" s="125"/>
      <c r="G38" s="126"/>
      <c r="H38" s="123"/>
      <c r="I38" s="123"/>
      <c r="J38" s="154">
        <f>(I38-H38)*24</f>
        <v>0</v>
      </c>
      <c r="K38" s="154">
        <f>(I38-H38)*24</f>
        <v>0</v>
      </c>
      <c r="L38" s="127"/>
      <c r="M38" s="128"/>
      <c r="N38" s="128"/>
      <c r="O38" s="129" t="s">
        <v>21</v>
      </c>
      <c r="P38" s="123"/>
      <c r="Q38" s="130">
        <f t="shared" si="0"/>
      </c>
      <c r="R38" s="130">
        <f t="shared" si="1"/>
        <v>1</v>
      </c>
      <c r="S38" s="130">
        <f t="shared" si="2"/>
      </c>
      <c r="T38" s="131">
        <f t="shared" si="7"/>
        <v>1</v>
      </c>
      <c r="U38" s="117"/>
      <c r="V38" s="117"/>
      <c r="W38" s="117"/>
    </row>
    <row r="39" spans="1:23" s="153" customFormat="1" ht="12.75">
      <c r="A39" s="142"/>
      <c r="B39" s="143"/>
      <c r="C39" s="143"/>
      <c r="D39" s="144">
        <f>SUM(D37:D38)</f>
        <v>143.18333333329065</v>
      </c>
      <c r="E39" s="145"/>
      <c r="F39" s="146"/>
      <c r="G39" s="147"/>
      <c r="H39" s="148"/>
      <c r="I39" s="148"/>
      <c r="J39" s="149">
        <f>SUM(J37:J38)</f>
        <v>0.8166666667093523</v>
      </c>
      <c r="K39" s="149">
        <f>SUM(K37:K38)</f>
        <v>0.8166666667093523</v>
      </c>
      <c r="L39" s="150"/>
      <c r="M39" s="151"/>
      <c r="N39" s="151"/>
      <c r="O39" s="152"/>
      <c r="P39" s="145"/>
      <c r="Q39" s="130">
        <f t="shared" si="0"/>
      </c>
      <c r="R39" s="130">
        <f t="shared" si="1"/>
      </c>
      <c r="S39" s="130">
        <f t="shared" si="2"/>
      </c>
      <c r="T39" s="131">
        <f t="shared" si="7"/>
        <v>0</v>
      </c>
      <c r="U39" s="30"/>
      <c r="V39" s="30"/>
      <c r="W39" s="30"/>
    </row>
    <row r="40" spans="1:23" s="133" customFormat="1" ht="12.75">
      <c r="A40" s="134">
        <v>23</v>
      </c>
      <c r="B40" s="135">
        <v>43935.333333333336</v>
      </c>
      <c r="C40" s="159">
        <v>43937.194444444445</v>
      </c>
      <c r="D40" s="136">
        <f>(C40-B40)*24</f>
        <v>44.66666666662786</v>
      </c>
      <c r="E40" s="135" t="s">
        <v>91</v>
      </c>
      <c r="F40" s="137">
        <v>107176</v>
      </c>
      <c r="G40" s="138"/>
      <c r="H40" s="159">
        <v>43937.194444444445</v>
      </c>
      <c r="I40" s="135">
        <v>43937.222916666666</v>
      </c>
      <c r="J40" s="136">
        <f>(I40-H40)*24</f>
        <v>0.6833333332906477</v>
      </c>
      <c r="K40" s="136">
        <f>(I40-H40)*24</f>
        <v>0.6833333332906477</v>
      </c>
      <c r="L40" s="139" t="s">
        <v>23</v>
      </c>
      <c r="M40" s="140" t="s">
        <v>23</v>
      </c>
      <c r="N40" s="140" t="s">
        <v>23</v>
      </c>
      <c r="O40" s="141" t="s">
        <v>17</v>
      </c>
      <c r="P40" s="135"/>
      <c r="Q40" s="130">
        <f t="shared" si="0"/>
        <v>1</v>
      </c>
      <c r="R40" s="130">
        <f t="shared" si="1"/>
      </c>
      <c r="S40" s="130">
        <f t="shared" si="2"/>
      </c>
      <c r="T40" s="131">
        <f t="shared" si="7"/>
        <v>1</v>
      </c>
      <c r="U40" s="132"/>
      <c r="V40" s="132"/>
      <c r="W40" s="132"/>
    </row>
    <row r="41" spans="1:23" s="118" customFormat="1" ht="15.75" customHeight="1">
      <c r="A41" s="122">
        <v>24</v>
      </c>
      <c r="B41" s="123">
        <v>43937.222916666666</v>
      </c>
      <c r="C41" s="123">
        <v>43941.333333333336</v>
      </c>
      <c r="D41" s="154">
        <f>(C41-B41)*24</f>
        <v>98.65000000008149</v>
      </c>
      <c r="E41" s="123" t="s">
        <v>67</v>
      </c>
      <c r="F41" s="125"/>
      <c r="G41" s="126"/>
      <c r="H41" s="123"/>
      <c r="I41" s="123"/>
      <c r="J41" s="154">
        <f>(I41-H41)*24</f>
        <v>0</v>
      </c>
      <c r="K41" s="154">
        <f>(I41-H41)*24</f>
        <v>0</v>
      </c>
      <c r="L41" s="127"/>
      <c r="M41" s="128"/>
      <c r="N41" s="128"/>
      <c r="O41" s="129" t="s">
        <v>21</v>
      </c>
      <c r="P41" s="123"/>
      <c r="Q41" s="130">
        <f t="shared" si="0"/>
      </c>
      <c r="R41" s="130">
        <f t="shared" si="1"/>
        <v>1</v>
      </c>
      <c r="S41" s="130">
        <f t="shared" si="2"/>
      </c>
      <c r="T41" s="131">
        <f t="shared" si="7"/>
        <v>1</v>
      </c>
      <c r="U41" s="117"/>
      <c r="V41" s="117"/>
      <c r="W41" s="117"/>
    </row>
    <row r="42" spans="1:23" s="153" customFormat="1" ht="12.75">
      <c r="A42" s="142"/>
      <c r="B42" s="143"/>
      <c r="C42" s="143"/>
      <c r="D42" s="144">
        <f>SUM(D40:D41)</f>
        <v>143.31666666670935</v>
      </c>
      <c r="E42" s="145"/>
      <c r="F42" s="146"/>
      <c r="G42" s="147"/>
      <c r="H42" s="148"/>
      <c r="I42" s="148"/>
      <c r="J42" s="149">
        <f>SUM(J40:J41)</f>
        <v>0.6833333332906477</v>
      </c>
      <c r="K42" s="149">
        <f>SUM(K40:K41)</f>
        <v>0.6833333332906477</v>
      </c>
      <c r="L42" s="150"/>
      <c r="M42" s="151"/>
      <c r="N42" s="151"/>
      <c r="O42" s="152"/>
      <c r="P42" s="145"/>
      <c r="Q42" s="130">
        <f t="shared" si="0"/>
      </c>
      <c r="R42" s="130">
        <f t="shared" si="1"/>
      </c>
      <c r="S42" s="130">
        <f t="shared" si="2"/>
      </c>
      <c r="T42" s="131">
        <f t="shared" si="7"/>
        <v>0</v>
      </c>
      <c r="U42" s="30"/>
      <c r="V42" s="30"/>
      <c r="W42" s="30"/>
    </row>
    <row r="43" spans="1:23" s="133" customFormat="1" ht="12.75">
      <c r="A43" s="134">
        <v>25</v>
      </c>
      <c r="B43" s="135">
        <v>43943.333333333336</v>
      </c>
      <c r="C43" s="159">
        <v>43946.134722222225</v>
      </c>
      <c r="D43" s="136">
        <f>(C43-B43)*24</f>
        <v>67.23333333333721</v>
      </c>
      <c r="E43" s="135" t="s">
        <v>92</v>
      </c>
      <c r="F43" s="137">
        <v>107178</v>
      </c>
      <c r="G43" s="138"/>
      <c r="H43" s="159">
        <v>43946.134722222225</v>
      </c>
      <c r="I43" s="135">
        <v>43946.17916666667</v>
      </c>
      <c r="J43" s="136">
        <f>(I43-H43)*24</f>
        <v>1.0666666666511446</v>
      </c>
      <c r="K43" s="136">
        <f>(I43-H43)*24</f>
        <v>1.0666666666511446</v>
      </c>
      <c r="L43" s="139" t="s">
        <v>86</v>
      </c>
      <c r="M43" s="140" t="s">
        <v>86</v>
      </c>
      <c r="N43" s="140" t="s">
        <v>86</v>
      </c>
      <c r="O43" s="141" t="s">
        <v>17</v>
      </c>
      <c r="P43" s="135"/>
      <c r="Q43" s="130">
        <f t="shared" si="0"/>
        <v>1</v>
      </c>
      <c r="R43" s="130">
        <f t="shared" si="1"/>
      </c>
      <c r="S43" s="130">
        <f t="shared" si="2"/>
      </c>
      <c r="T43" s="131">
        <f t="shared" si="7"/>
        <v>1</v>
      </c>
      <c r="U43" s="132"/>
      <c r="V43" s="132"/>
      <c r="W43" s="132"/>
    </row>
    <row r="44" spans="1:23" s="118" customFormat="1" ht="15.75" customHeight="1">
      <c r="A44" s="122">
        <v>26</v>
      </c>
      <c r="B44" s="123">
        <v>43946.17916666667</v>
      </c>
      <c r="C44" s="123">
        <v>43948.333333333336</v>
      </c>
      <c r="D44" s="154">
        <f>(C44-B44)*24</f>
        <v>51.70000000001164</v>
      </c>
      <c r="E44" s="123" t="s">
        <v>67</v>
      </c>
      <c r="F44" s="125"/>
      <c r="G44" s="126"/>
      <c r="H44" s="123"/>
      <c r="I44" s="123"/>
      <c r="J44" s="154">
        <f>(I44-H44)*24</f>
        <v>0</v>
      </c>
      <c r="K44" s="154">
        <f>(I44-H44)*24</f>
        <v>0</v>
      </c>
      <c r="L44" s="127"/>
      <c r="M44" s="128"/>
      <c r="N44" s="128"/>
      <c r="O44" s="129" t="s">
        <v>21</v>
      </c>
      <c r="P44" s="123"/>
      <c r="Q44" s="130">
        <f t="shared" si="0"/>
      </c>
      <c r="R44" s="130">
        <f t="shared" si="1"/>
        <v>1</v>
      </c>
      <c r="S44" s="130">
        <f t="shared" si="2"/>
      </c>
      <c r="T44" s="131">
        <f t="shared" si="7"/>
        <v>1</v>
      </c>
      <c r="U44" s="117"/>
      <c r="V44" s="117"/>
      <c r="W44" s="117"/>
    </row>
    <row r="45" spans="1:23" s="153" customFormat="1" ht="12.75">
      <c r="A45" s="142"/>
      <c r="B45" s="143"/>
      <c r="C45" s="143"/>
      <c r="D45" s="144">
        <f>SUM(D43:D44)</f>
        <v>118.93333333334886</v>
      </c>
      <c r="E45" s="145"/>
      <c r="F45" s="146"/>
      <c r="G45" s="147"/>
      <c r="H45" s="148"/>
      <c r="I45" s="148"/>
      <c r="J45" s="149">
        <f>SUM(J43:J44)</f>
        <v>1.0666666666511446</v>
      </c>
      <c r="K45" s="149">
        <f>SUM(K43:K44)</f>
        <v>1.0666666666511446</v>
      </c>
      <c r="L45" s="150"/>
      <c r="M45" s="151"/>
      <c r="N45" s="151"/>
      <c r="O45" s="152"/>
      <c r="P45" s="145"/>
      <c r="Q45" s="130">
        <f t="shared" si="0"/>
      </c>
      <c r="R45" s="130">
        <f t="shared" si="1"/>
      </c>
      <c r="S45" s="130">
        <f t="shared" si="2"/>
      </c>
      <c r="T45" s="131">
        <f t="shared" si="7"/>
        <v>0</v>
      </c>
      <c r="U45" s="30"/>
      <c r="V45" s="30"/>
      <c r="W45" s="30"/>
    </row>
    <row r="46" spans="1:23" s="133" customFormat="1" ht="12.75">
      <c r="A46" s="134"/>
      <c r="B46" s="135"/>
      <c r="C46" s="159"/>
      <c r="D46" s="136"/>
      <c r="E46" s="135" t="s">
        <v>76</v>
      </c>
      <c r="F46" s="137">
        <v>107179</v>
      </c>
      <c r="G46" s="138"/>
      <c r="H46" s="159">
        <v>43949.333333333336</v>
      </c>
      <c r="I46" s="135">
        <v>43949.34027777778</v>
      </c>
      <c r="J46" s="136">
        <f>(I46-H46)*24</f>
        <v>0.16666666668606922</v>
      </c>
      <c r="K46" s="136">
        <f>(I46-H46)*24</f>
        <v>0.16666666668606922</v>
      </c>
      <c r="L46" s="139" t="s">
        <v>65</v>
      </c>
      <c r="M46" s="140" t="s">
        <v>65</v>
      </c>
      <c r="N46" s="140" t="s">
        <v>65</v>
      </c>
      <c r="O46" s="141" t="s">
        <v>66</v>
      </c>
      <c r="P46" s="135"/>
      <c r="Q46" s="130">
        <f t="shared" si="0"/>
      </c>
      <c r="R46" s="130">
        <f t="shared" si="1"/>
      </c>
      <c r="S46" s="130">
        <f t="shared" si="2"/>
        <v>1</v>
      </c>
      <c r="T46" s="131">
        <f aca="true" t="shared" si="8" ref="T46:T55">SUM(Q46:S46)</f>
        <v>1</v>
      </c>
      <c r="U46" s="132"/>
      <c r="V46" s="132"/>
      <c r="W46" s="132"/>
    </row>
    <row r="47" spans="1:23" s="118" customFormat="1" ht="15.75" customHeight="1">
      <c r="A47" s="122">
        <v>27</v>
      </c>
      <c r="B47" s="123">
        <v>43949.34027777778</v>
      </c>
      <c r="C47" s="123">
        <v>43955.333333333336</v>
      </c>
      <c r="D47" s="154">
        <f>(C47-B47)*24</f>
        <v>143.83333333331393</v>
      </c>
      <c r="E47" s="123" t="s">
        <v>67</v>
      </c>
      <c r="F47" s="125"/>
      <c r="G47" s="126"/>
      <c r="H47" s="123"/>
      <c r="I47" s="123"/>
      <c r="J47" s="154">
        <f>(I47-H47)*24</f>
        <v>0</v>
      </c>
      <c r="K47" s="154">
        <f>(I47-H47)*24</f>
        <v>0</v>
      </c>
      <c r="L47" s="127"/>
      <c r="M47" s="128"/>
      <c r="N47" s="128"/>
      <c r="O47" s="129" t="s">
        <v>21</v>
      </c>
      <c r="P47" s="123"/>
      <c r="Q47" s="130">
        <f t="shared" si="0"/>
      </c>
      <c r="R47" s="130">
        <f t="shared" si="1"/>
        <v>1</v>
      </c>
      <c r="S47" s="130">
        <f t="shared" si="2"/>
      </c>
      <c r="T47" s="131">
        <f t="shared" si="8"/>
        <v>1</v>
      </c>
      <c r="U47" s="117"/>
      <c r="V47" s="117"/>
      <c r="W47" s="117"/>
    </row>
    <row r="48" spans="1:23" s="153" customFormat="1" ht="12.75">
      <c r="A48" s="142"/>
      <c r="B48" s="143"/>
      <c r="C48" s="143"/>
      <c r="D48" s="144">
        <f>SUM(D46:D47)</f>
        <v>143.83333333331393</v>
      </c>
      <c r="E48" s="145"/>
      <c r="F48" s="146"/>
      <c r="G48" s="147"/>
      <c r="H48" s="148"/>
      <c r="I48" s="148"/>
      <c r="J48" s="149">
        <f>SUM(J46:J47)</f>
        <v>0.16666666668606922</v>
      </c>
      <c r="K48" s="149">
        <f>SUM(K46:K47)</f>
        <v>0.16666666668606922</v>
      </c>
      <c r="L48" s="150"/>
      <c r="M48" s="151"/>
      <c r="N48" s="151"/>
      <c r="O48" s="152"/>
      <c r="P48" s="145"/>
      <c r="Q48" s="130">
        <f t="shared" si="0"/>
      </c>
      <c r="R48" s="130">
        <f t="shared" si="1"/>
      </c>
      <c r="S48" s="130">
        <f t="shared" si="2"/>
      </c>
      <c r="T48" s="131">
        <f t="shared" si="8"/>
        <v>0</v>
      </c>
      <c r="U48" s="30"/>
      <c r="V48" s="30"/>
      <c r="W48" s="30"/>
    </row>
    <row r="49" spans="1:23" s="133" customFormat="1" ht="12.75">
      <c r="A49" s="122">
        <v>28</v>
      </c>
      <c r="B49" s="123">
        <v>43956.333333333336</v>
      </c>
      <c r="C49" s="123">
        <v>43958.375</v>
      </c>
      <c r="D49" s="124">
        <f>(C49-B49)*24</f>
        <v>48.99999999994179</v>
      </c>
      <c r="E49" s="123" t="s">
        <v>93</v>
      </c>
      <c r="F49" s="125">
        <v>107182</v>
      </c>
      <c r="G49" s="126"/>
      <c r="H49" s="123">
        <v>43958.375</v>
      </c>
      <c r="I49" s="123">
        <v>43958.4</v>
      </c>
      <c r="J49" s="154">
        <f>(I49-H49)*24</f>
        <v>0.6000000000349246</v>
      </c>
      <c r="K49" s="154">
        <f>SUM(I49-H49)*24</f>
        <v>0.6000000000349246</v>
      </c>
      <c r="L49" s="127" t="s">
        <v>23</v>
      </c>
      <c r="M49" s="128" t="s">
        <v>23</v>
      </c>
      <c r="N49" s="128" t="s">
        <v>23</v>
      </c>
      <c r="O49" s="129" t="s">
        <v>17</v>
      </c>
      <c r="P49" s="123"/>
      <c r="Q49" s="130">
        <f t="shared" si="0"/>
        <v>1</v>
      </c>
      <c r="R49" s="130">
        <f t="shared" si="1"/>
      </c>
      <c r="S49" s="130">
        <f t="shared" si="2"/>
      </c>
      <c r="T49" s="131">
        <f t="shared" si="8"/>
        <v>1</v>
      </c>
      <c r="U49" s="132"/>
      <c r="V49" s="132"/>
      <c r="W49" s="132"/>
    </row>
    <row r="50" spans="1:23" s="133" customFormat="1" ht="12.75">
      <c r="A50" s="134">
        <v>29</v>
      </c>
      <c r="B50" s="135">
        <v>43958.4</v>
      </c>
      <c r="C50" s="159">
        <v>43960.808333333334</v>
      </c>
      <c r="D50" s="136">
        <f>(C50-B50)*24</f>
        <v>57.79999999998836</v>
      </c>
      <c r="E50" s="135" t="s">
        <v>94</v>
      </c>
      <c r="F50" s="137">
        <v>107183</v>
      </c>
      <c r="G50" s="138"/>
      <c r="H50" s="159">
        <v>43960.808333333334</v>
      </c>
      <c r="I50" s="159">
        <v>43960.84583333333</v>
      </c>
      <c r="J50" s="136">
        <f>(I50-H50)*24</f>
        <v>0.8999999999650754</v>
      </c>
      <c r="K50" s="136">
        <f>(I50-H50)*24</f>
        <v>0.8999999999650754</v>
      </c>
      <c r="L50" s="139" t="s">
        <v>89</v>
      </c>
      <c r="M50" s="140" t="s">
        <v>89</v>
      </c>
      <c r="N50" s="140" t="s">
        <v>89</v>
      </c>
      <c r="O50" s="141" t="s">
        <v>17</v>
      </c>
      <c r="P50" s="135"/>
      <c r="Q50" s="130">
        <f t="shared" si="0"/>
        <v>1</v>
      </c>
      <c r="R50" s="130">
        <f t="shared" si="1"/>
      </c>
      <c r="S50" s="130">
        <f t="shared" si="2"/>
      </c>
      <c r="T50" s="131">
        <f t="shared" si="8"/>
        <v>1</v>
      </c>
      <c r="U50" s="132"/>
      <c r="V50" s="132"/>
      <c r="W50" s="132"/>
    </row>
    <row r="51" spans="1:23" s="118" customFormat="1" ht="15.75" customHeight="1">
      <c r="A51" s="122">
        <v>30</v>
      </c>
      <c r="B51" s="123">
        <v>43960.84583333333</v>
      </c>
      <c r="C51" s="123">
        <v>43962.333333333336</v>
      </c>
      <c r="D51" s="154">
        <f>(C51-B51)*24</f>
        <v>35.70000000006985</v>
      </c>
      <c r="E51" s="123" t="s">
        <v>67</v>
      </c>
      <c r="F51" s="125"/>
      <c r="G51" s="126"/>
      <c r="H51" s="123"/>
      <c r="I51" s="123"/>
      <c r="J51" s="154">
        <f>(I51-H51)*24</f>
        <v>0</v>
      </c>
      <c r="K51" s="154">
        <f>(I51-H51)*24</f>
        <v>0</v>
      </c>
      <c r="L51" s="127"/>
      <c r="M51" s="128"/>
      <c r="N51" s="128"/>
      <c r="O51" s="129" t="s">
        <v>21</v>
      </c>
      <c r="P51" s="123"/>
      <c r="Q51" s="130">
        <f t="shared" si="0"/>
      </c>
      <c r="R51" s="130">
        <f t="shared" si="1"/>
        <v>1</v>
      </c>
      <c r="S51" s="130">
        <f t="shared" si="2"/>
      </c>
      <c r="T51" s="131">
        <f t="shared" si="8"/>
        <v>1</v>
      </c>
      <c r="U51" s="117"/>
      <c r="V51" s="117"/>
      <c r="W51" s="117"/>
    </row>
    <row r="52" spans="1:23" s="153" customFormat="1" ht="12.75">
      <c r="A52" s="142"/>
      <c r="B52" s="143"/>
      <c r="C52" s="143"/>
      <c r="D52" s="144">
        <f>SUM(D49:D51)</f>
        <v>142.5</v>
      </c>
      <c r="E52" s="145"/>
      <c r="F52" s="146"/>
      <c r="G52" s="147"/>
      <c r="H52" s="148"/>
      <c r="I52" s="148"/>
      <c r="J52" s="149">
        <f>SUM(J49:J51)</f>
        <v>1.5</v>
      </c>
      <c r="K52" s="149">
        <f>SUM(K49:K51)</f>
        <v>1.5</v>
      </c>
      <c r="L52" s="150"/>
      <c r="M52" s="151"/>
      <c r="N52" s="151"/>
      <c r="O52" s="152"/>
      <c r="P52" s="145"/>
      <c r="Q52" s="130">
        <f t="shared" si="0"/>
      </c>
      <c r="R52" s="130">
        <f t="shared" si="1"/>
      </c>
      <c r="S52" s="130">
        <f t="shared" si="2"/>
      </c>
      <c r="T52" s="131">
        <f t="shared" si="8"/>
        <v>0</v>
      </c>
      <c r="U52" s="30"/>
      <c r="V52" s="30"/>
      <c r="W52" s="30"/>
    </row>
    <row r="53" spans="1:23" s="133" customFormat="1" ht="12.75">
      <c r="A53" s="134">
        <v>31</v>
      </c>
      <c r="B53" s="135">
        <v>43963.333333333336</v>
      </c>
      <c r="C53" s="159">
        <v>43965.989583333336</v>
      </c>
      <c r="D53" s="136">
        <f>(C53-B53)*24</f>
        <v>63.75</v>
      </c>
      <c r="E53" s="135" t="s">
        <v>95</v>
      </c>
      <c r="F53" s="137">
        <v>107184</v>
      </c>
      <c r="G53" s="138"/>
      <c r="H53" s="159">
        <v>43965.989583333336</v>
      </c>
      <c r="I53" s="135">
        <v>43966.021527777775</v>
      </c>
      <c r="J53" s="136">
        <f>(I53-H53)*24</f>
        <v>0.7666666665463708</v>
      </c>
      <c r="K53" s="136">
        <f>(I53-H53)*24</f>
        <v>0.7666666665463708</v>
      </c>
      <c r="L53" s="139" t="s">
        <v>86</v>
      </c>
      <c r="M53" s="140" t="s">
        <v>86</v>
      </c>
      <c r="N53" s="140" t="s">
        <v>86</v>
      </c>
      <c r="O53" s="141" t="s">
        <v>17</v>
      </c>
      <c r="P53" s="135"/>
      <c r="Q53" s="130">
        <f t="shared" si="0"/>
        <v>1</v>
      </c>
      <c r="R53" s="130">
        <f t="shared" si="1"/>
      </c>
      <c r="S53" s="130">
        <f t="shared" si="2"/>
      </c>
      <c r="T53" s="131">
        <f t="shared" si="8"/>
        <v>1</v>
      </c>
      <c r="U53" s="132"/>
      <c r="V53" s="132"/>
      <c r="W53" s="132"/>
    </row>
    <row r="54" spans="1:23" s="118" customFormat="1" ht="15.75" customHeight="1">
      <c r="A54" s="122">
        <v>32</v>
      </c>
      <c r="B54" s="123">
        <v>43966.021527777775</v>
      </c>
      <c r="C54" s="123">
        <v>43969.333333333336</v>
      </c>
      <c r="D54" s="154">
        <f>(C54-B54)*24</f>
        <v>79.48333333345363</v>
      </c>
      <c r="E54" s="123" t="s">
        <v>67</v>
      </c>
      <c r="F54" s="125"/>
      <c r="G54" s="126"/>
      <c r="H54" s="123"/>
      <c r="I54" s="123"/>
      <c r="J54" s="154">
        <f>(I54-H54)*24</f>
        <v>0</v>
      </c>
      <c r="K54" s="154">
        <f>(I54-H54)*24</f>
        <v>0</v>
      </c>
      <c r="L54" s="127"/>
      <c r="M54" s="128"/>
      <c r="N54" s="128"/>
      <c r="O54" s="129" t="s">
        <v>21</v>
      </c>
      <c r="P54" s="123"/>
      <c r="Q54" s="130">
        <f t="shared" si="0"/>
      </c>
      <c r="R54" s="130">
        <f t="shared" si="1"/>
        <v>1</v>
      </c>
      <c r="S54" s="130">
        <f t="shared" si="2"/>
      </c>
      <c r="T54" s="131">
        <f t="shared" si="8"/>
        <v>1</v>
      </c>
      <c r="U54" s="117"/>
      <c r="V54" s="117"/>
      <c r="W54" s="117"/>
    </row>
    <row r="55" spans="1:23" s="153" customFormat="1" ht="12.75">
      <c r="A55" s="142"/>
      <c r="B55" s="143"/>
      <c r="C55" s="143"/>
      <c r="D55" s="144">
        <f>SUM(D53:D54)</f>
        <v>143.23333333345363</v>
      </c>
      <c r="E55" s="145"/>
      <c r="F55" s="146"/>
      <c r="G55" s="147"/>
      <c r="H55" s="148"/>
      <c r="I55" s="148"/>
      <c r="J55" s="149">
        <f>SUM(J53:J54)</f>
        <v>0.7666666665463708</v>
      </c>
      <c r="K55" s="149">
        <f>SUM(K53:K54)</f>
        <v>0.7666666665463708</v>
      </c>
      <c r="L55" s="150"/>
      <c r="M55" s="151"/>
      <c r="N55" s="151"/>
      <c r="O55" s="152"/>
      <c r="P55" s="145"/>
      <c r="Q55" s="130">
        <f t="shared" si="0"/>
      </c>
      <c r="R55" s="130">
        <f t="shared" si="1"/>
      </c>
      <c r="S55" s="130">
        <f t="shared" si="2"/>
      </c>
      <c r="T55" s="131">
        <f t="shared" si="8"/>
        <v>0</v>
      </c>
      <c r="U55" s="30"/>
      <c r="V55" s="30"/>
      <c r="W55" s="30"/>
    </row>
    <row r="56" spans="1:23" s="118" customFormat="1" ht="15.75" customHeight="1">
      <c r="A56" s="122">
        <v>33</v>
      </c>
      <c r="B56" s="123">
        <v>43971.333333333336</v>
      </c>
      <c r="C56" s="123">
        <v>43976.333333333336</v>
      </c>
      <c r="D56" s="154">
        <f>(C56-B56)*24</f>
        <v>120</v>
      </c>
      <c r="E56" s="123" t="s">
        <v>67</v>
      </c>
      <c r="F56" s="125"/>
      <c r="G56" s="126"/>
      <c r="H56" s="123"/>
      <c r="I56" s="123"/>
      <c r="J56" s="154">
        <f>(I56-H56)*24</f>
        <v>0</v>
      </c>
      <c r="K56" s="154">
        <f>(I56-H56)*24</f>
        <v>0</v>
      </c>
      <c r="L56" s="127"/>
      <c r="M56" s="128"/>
      <c r="N56" s="128"/>
      <c r="O56" s="129" t="s">
        <v>21</v>
      </c>
      <c r="P56" s="123"/>
      <c r="Q56" s="130">
        <f t="shared" si="0"/>
      </c>
      <c r="R56" s="130">
        <f t="shared" si="1"/>
        <v>1</v>
      </c>
      <c r="S56" s="130">
        <f t="shared" si="2"/>
      </c>
      <c r="T56" s="131">
        <f aca="true" t="shared" si="9" ref="T56:T66">SUM(Q56:S56)</f>
        <v>1</v>
      </c>
      <c r="U56" s="117"/>
      <c r="V56" s="117"/>
      <c r="W56" s="117"/>
    </row>
    <row r="57" spans="1:23" s="153" customFormat="1" ht="12.75">
      <c r="A57" s="142"/>
      <c r="B57" s="143"/>
      <c r="C57" s="143"/>
      <c r="D57" s="144">
        <f>SUM(D56:D56)</f>
        <v>120</v>
      </c>
      <c r="E57" s="145"/>
      <c r="F57" s="146"/>
      <c r="G57" s="147"/>
      <c r="H57" s="148"/>
      <c r="I57" s="148"/>
      <c r="J57" s="149">
        <f>SUM(J56:J56)</f>
        <v>0</v>
      </c>
      <c r="K57" s="149">
        <f>SUM(K56:K56)</f>
        <v>0</v>
      </c>
      <c r="L57" s="150"/>
      <c r="M57" s="151"/>
      <c r="N57" s="151"/>
      <c r="O57" s="152"/>
      <c r="P57" s="145"/>
      <c r="Q57" s="130">
        <f t="shared" si="0"/>
      </c>
      <c r="R57" s="130">
        <f t="shared" si="1"/>
      </c>
      <c r="S57" s="130">
        <f t="shared" si="2"/>
      </c>
      <c r="T57" s="131">
        <f t="shared" si="9"/>
        <v>0</v>
      </c>
      <c r="U57" s="30"/>
      <c r="V57" s="30"/>
      <c r="W57" s="30"/>
    </row>
    <row r="58" spans="1:23" s="133" customFormat="1" ht="12.75">
      <c r="A58" s="122">
        <v>34</v>
      </c>
      <c r="B58" s="195">
        <v>43977.333333333336</v>
      </c>
      <c r="C58" s="123">
        <v>43977.47430555556</v>
      </c>
      <c r="D58" s="124">
        <f>(C58-B58)*24</f>
        <v>3.383333333360497</v>
      </c>
      <c r="E58" s="123" t="s">
        <v>99</v>
      </c>
      <c r="F58" s="125">
        <v>107185</v>
      </c>
      <c r="G58" s="126"/>
      <c r="H58" s="123">
        <v>43977.47430555556</v>
      </c>
      <c r="I58" s="123">
        <v>43977.498611111114</v>
      </c>
      <c r="J58" s="154">
        <f>(I58-H58)*24</f>
        <v>0.5833333333139308</v>
      </c>
      <c r="K58" s="154">
        <f>SUM(I58-H58)*24</f>
        <v>0.5833333333139308</v>
      </c>
      <c r="L58" s="127" t="s">
        <v>23</v>
      </c>
      <c r="M58" s="128" t="s">
        <v>23</v>
      </c>
      <c r="N58" s="128" t="s">
        <v>23</v>
      </c>
      <c r="O58" s="129" t="s">
        <v>17</v>
      </c>
      <c r="P58" s="123"/>
      <c r="Q58" s="130">
        <f t="shared" si="0"/>
        <v>1</v>
      </c>
      <c r="R58" s="130">
        <f t="shared" si="1"/>
      </c>
      <c r="S58" s="130">
        <f t="shared" si="2"/>
      </c>
      <c r="T58" s="131">
        <f t="shared" si="9"/>
        <v>1</v>
      </c>
      <c r="U58" s="132"/>
      <c r="V58" s="132"/>
      <c r="W58" s="132"/>
    </row>
    <row r="59" spans="1:23" s="153" customFormat="1" ht="12.75">
      <c r="A59" s="134">
        <v>35</v>
      </c>
      <c r="B59" s="194">
        <v>43977.498611111114</v>
      </c>
      <c r="C59" s="194">
        <v>43978.92569444444</v>
      </c>
      <c r="D59" s="136">
        <f>(C59-B59)*24</f>
        <v>34.249999999883585</v>
      </c>
      <c r="E59" s="135" t="s">
        <v>100</v>
      </c>
      <c r="F59" s="137">
        <v>107186</v>
      </c>
      <c r="G59" s="138"/>
      <c r="H59" s="194">
        <v>43978.92569444444</v>
      </c>
      <c r="I59" s="194">
        <v>43978.95972222222</v>
      </c>
      <c r="J59" s="136">
        <f>(I59-H59)*24</f>
        <v>0.8166666667093523</v>
      </c>
      <c r="K59" s="136">
        <f>SUM(I59-H59)*24</f>
        <v>0.8166666667093523</v>
      </c>
      <c r="L59" s="139" t="s">
        <v>23</v>
      </c>
      <c r="M59" s="140" t="s">
        <v>23</v>
      </c>
      <c r="N59" s="140" t="s">
        <v>23</v>
      </c>
      <c r="O59" s="141" t="s">
        <v>17</v>
      </c>
      <c r="P59" s="135"/>
      <c r="Q59" s="130">
        <f t="shared" si="0"/>
        <v>1</v>
      </c>
      <c r="R59" s="130">
        <f t="shared" si="1"/>
      </c>
      <c r="S59" s="130">
        <f t="shared" si="2"/>
      </c>
      <c r="T59" s="131">
        <f t="shared" si="9"/>
        <v>1</v>
      </c>
      <c r="U59" s="30"/>
      <c r="V59" s="30"/>
      <c r="W59" s="30"/>
    </row>
    <row r="60" spans="1:23" s="133" customFormat="1" ht="12.75">
      <c r="A60" s="122">
        <v>36</v>
      </c>
      <c r="B60" s="195">
        <v>43978.95972222222</v>
      </c>
      <c r="C60" s="123">
        <v>43979.60486111111</v>
      </c>
      <c r="D60" s="124">
        <f>(C60-B60)*24</f>
        <v>15.483333333337214</v>
      </c>
      <c r="E60" s="123" t="s">
        <v>99</v>
      </c>
      <c r="F60" s="125"/>
      <c r="G60" s="126"/>
      <c r="H60" s="123">
        <v>43979.60486111111</v>
      </c>
      <c r="I60" s="123">
        <v>43979.75277777778</v>
      </c>
      <c r="J60" s="154">
        <f>(I60-H60)*24</f>
        <v>3.550000000046566</v>
      </c>
      <c r="K60" s="154"/>
      <c r="L60" s="127"/>
      <c r="M60" s="128"/>
      <c r="N60" s="128"/>
      <c r="O60" s="129"/>
      <c r="P60" s="123"/>
      <c r="Q60" s="130">
        <f t="shared" si="0"/>
      </c>
      <c r="R60" s="130">
        <f t="shared" si="1"/>
      </c>
      <c r="S60" s="130">
        <f t="shared" si="2"/>
      </c>
      <c r="T60" s="131">
        <f t="shared" si="9"/>
        <v>0</v>
      </c>
      <c r="U60" s="132"/>
      <c r="V60" s="132"/>
      <c r="W60" s="132"/>
    </row>
    <row r="61" spans="1:23" s="118" customFormat="1" ht="12.75">
      <c r="A61" s="134"/>
      <c r="B61" s="194"/>
      <c r="C61" s="135"/>
      <c r="D61" s="136"/>
      <c r="E61" s="135"/>
      <c r="F61" s="137">
        <v>107187</v>
      </c>
      <c r="G61" s="138"/>
      <c r="H61" s="167">
        <v>43979.60486111111</v>
      </c>
      <c r="I61" s="167">
        <v>43979.654861111114</v>
      </c>
      <c r="J61" s="163"/>
      <c r="K61" s="163">
        <f>SUM(I61-H61)*24</f>
        <v>1.2000000000698492</v>
      </c>
      <c r="L61" s="164" t="s">
        <v>23</v>
      </c>
      <c r="M61" s="165" t="s">
        <v>23</v>
      </c>
      <c r="N61" s="165" t="s">
        <v>23</v>
      </c>
      <c r="O61" s="166" t="s">
        <v>17</v>
      </c>
      <c r="P61" s="167"/>
      <c r="Q61" s="130">
        <f t="shared" si="0"/>
        <v>1</v>
      </c>
      <c r="R61" s="130">
        <f t="shared" si="1"/>
      </c>
      <c r="S61" s="130">
        <f t="shared" si="2"/>
      </c>
      <c r="T61" s="131">
        <f t="shared" si="9"/>
        <v>1</v>
      </c>
      <c r="U61" s="117"/>
      <c r="V61" s="117"/>
      <c r="W61" s="117"/>
    </row>
    <row r="62" spans="1:23" s="118" customFormat="1" ht="12.75">
      <c r="A62" s="134"/>
      <c r="B62" s="194"/>
      <c r="C62" s="135"/>
      <c r="D62" s="136"/>
      <c r="E62" s="135"/>
      <c r="F62" s="137">
        <v>107188</v>
      </c>
      <c r="G62" s="138"/>
      <c r="H62" s="174">
        <v>43979.654861111114</v>
      </c>
      <c r="I62" s="174">
        <v>43979.75277777778</v>
      </c>
      <c r="J62" s="170"/>
      <c r="K62" s="170">
        <f>SUM(I62-H62)*24</f>
        <v>2.349999999976717</v>
      </c>
      <c r="L62" s="171" t="s">
        <v>23</v>
      </c>
      <c r="M62" s="172" t="s">
        <v>23</v>
      </c>
      <c r="N62" s="172" t="s">
        <v>23</v>
      </c>
      <c r="O62" s="173" t="s">
        <v>66</v>
      </c>
      <c r="P62" s="174" t="s">
        <v>104</v>
      </c>
      <c r="Q62" s="130">
        <f t="shared" si="0"/>
      </c>
      <c r="R62" s="130">
        <f t="shared" si="1"/>
      </c>
      <c r="S62" s="130">
        <f t="shared" si="2"/>
        <v>1</v>
      </c>
      <c r="T62" s="131">
        <f t="shared" si="9"/>
        <v>1</v>
      </c>
      <c r="U62" s="117"/>
      <c r="V62" s="117"/>
      <c r="W62" s="117"/>
    </row>
    <row r="63" spans="1:23" s="133" customFormat="1" ht="12.75">
      <c r="A63" s="122">
        <v>38</v>
      </c>
      <c r="B63" s="195">
        <v>43979.75277777778</v>
      </c>
      <c r="C63" s="123">
        <v>43980.69930555556</v>
      </c>
      <c r="D63" s="124">
        <f>(C63-B63)*24</f>
        <v>22.716666666674428</v>
      </c>
      <c r="E63" s="123" t="s">
        <v>101</v>
      </c>
      <c r="F63" s="125">
        <v>107190</v>
      </c>
      <c r="G63" s="126"/>
      <c r="H63" s="123">
        <v>43980.69930555556</v>
      </c>
      <c r="I63" s="123">
        <v>43980.72430555556</v>
      </c>
      <c r="J63" s="154">
        <f>(I63-H63)*24</f>
        <v>0.6000000000349246</v>
      </c>
      <c r="K63" s="154">
        <f>SUM(I63-H63)*24</f>
        <v>0.6000000000349246</v>
      </c>
      <c r="L63" s="127" t="s">
        <v>23</v>
      </c>
      <c r="M63" s="128" t="s">
        <v>23</v>
      </c>
      <c r="N63" s="128" t="s">
        <v>23</v>
      </c>
      <c r="O63" s="129" t="s">
        <v>17</v>
      </c>
      <c r="P63" s="123"/>
      <c r="Q63" s="130">
        <f t="shared" si="0"/>
        <v>1</v>
      </c>
      <c r="R63" s="130">
        <f t="shared" si="1"/>
      </c>
      <c r="S63" s="130">
        <f t="shared" si="2"/>
      </c>
      <c r="T63" s="131">
        <f t="shared" si="9"/>
        <v>1</v>
      </c>
      <c r="U63" s="132"/>
      <c r="V63" s="132"/>
      <c r="W63" s="132"/>
    </row>
    <row r="64" spans="1:23" s="133" customFormat="1" ht="12.75">
      <c r="A64" s="134">
        <v>39</v>
      </c>
      <c r="B64" s="135">
        <v>43980.72430555556</v>
      </c>
      <c r="C64" s="159">
        <v>43982.49722222222</v>
      </c>
      <c r="D64" s="136">
        <f>(C64-B64)*24</f>
        <v>42.54999999987194</v>
      </c>
      <c r="E64" s="135" t="s">
        <v>102</v>
      </c>
      <c r="F64" s="137">
        <v>107191</v>
      </c>
      <c r="G64" s="138"/>
      <c r="H64" s="159">
        <v>43982.49722222222</v>
      </c>
      <c r="I64" s="159">
        <v>43982.52569444444</v>
      </c>
      <c r="J64" s="136">
        <f>(I64-H64)*24</f>
        <v>0.6833333332906477</v>
      </c>
      <c r="K64" s="136">
        <f>(I64-H64)*24</f>
        <v>0.6833333332906477</v>
      </c>
      <c r="L64" s="139" t="s">
        <v>23</v>
      </c>
      <c r="M64" s="140" t="s">
        <v>23</v>
      </c>
      <c r="N64" s="140" t="s">
        <v>23</v>
      </c>
      <c r="O64" s="141" t="s">
        <v>17</v>
      </c>
      <c r="P64" s="135"/>
      <c r="Q64" s="130">
        <f t="shared" si="0"/>
        <v>1</v>
      </c>
      <c r="R64" s="130">
        <f t="shared" si="1"/>
      </c>
      <c r="S64" s="130">
        <f t="shared" si="2"/>
      </c>
      <c r="T64" s="131">
        <f t="shared" si="9"/>
        <v>1</v>
      </c>
      <c r="U64" s="132"/>
      <c r="V64" s="132"/>
      <c r="W64" s="132"/>
    </row>
    <row r="65" spans="1:23" s="118" customFormat="1" ht="15.75" customHeight="1">
      <c r="A65" s="122">
        <v>40</v>
      </c>
      <c r="B65" s="123">
        <v>43982.52569444444</v>
      </c>
      <c r="C65" s="123">
        <v>43983</v>
      </c>
      <c r="D65" s="154">
        <f>(C65-B65)*24</f>
        <v>11.383333333418705</v>
      </c>
      <c r="E65" s="123" t="s">
        <v>67</v>
      </c>
      <c r="F65" s="125"/>
      <c r="G65" s="126"/>
      <c r="H65" s="123"/>
      <c r="I65" s="123"/>
      <c r="J65" s="154">
        <f>(I65-H65)*24</f>
        <v>0</v>
      </c>
      <c r="K65" s="154">
        <f>(I65-H65)*24</f>
        <v>0</v>
      </c>
      <c r="L65" s="127"/>
      <c r="M65" s="128"/>
      <c r="N65" s="128"/>
      <c r="O65" s="129" t="s">
        <v>21</v>
      </c>
      <c r="P65" s="123"/>
      <c r="Q65" s="130">
        <f t="shared" si="0"/>
      </c>
      <c r="R65" s="130">
        <f t="shared" si="1"/>
        <v>1</v>
      </c>
      <c r="S65" s="130">
        <f t="shared" si="2"/>
      </c>
      <c r="T65" s="131">
        <f t="shared" si="9"/>
        <v>1</v>
      </c>
      <c r="U65" s="117"/>
      <c r="V65" s="117"/>
      <c r="W65" s="117"/>
    </row>
    <row r="66" spans="1:23" s="153" customFormat="1" ht="12.75">
      <c r="A66" s="142"/>
      <c r="B66" s="143"/>
      <c r="C66" s="143"/>
      <c r="D66" s="144">
        <f>SUM(D59:D65)</f>
        <v>126.38333333318587</v>
      </c>
      <c r="E66" s="145"/>
      <c r="F66" s="146"/>
      <c r="G66" s="147"/>
      <c r="H66" s="148"/>
      <c r="I66" s="148"/>
      <c r="J66" s="149">
        <f>SUM(J58:J65)</f>
        <v>6.2333333333954215</v>
      </c>
      <c r="K66" s="149">
        <f>SUM(K58:K65)</f>
        <v>6.2333333333954215</v>
      </c>
      <c r="L66" s="150"/>
      <c r="M66" s="151"/>
      <c r="N66" s="151"/>
      <c r="O66" s="152"/>
      <c r="P66" s="145"/>
      <c r="Q66" s="130">
        <f t="shared" si="0"/>
      </c>
      <c r="R66" s="130">
        <f t="shared" si="1"/>
      </c>
      <c r="S66" s="130">
        <f t="shared" si="2"/>
      </c>
      <c r="T66" s="131">
        <f t="shared" si="9"/>
        <v>0</v>
      </c>
      <c r="U66" s="30"/>
      <c r="V66" s="30"/>
      <c r="W66" s="30"/>
    </row>
    <row r="67" spans="1:23" s="118" customFormat="1" ht="12.75">
      <c r="A67" s="106"/>
      <c r="B67" s="107"/>
      <c r="C67" s="107"/>
      <c r="D67" s="108"/>
      <c r="E67" s="109"/>
      <c r="F67" s="110"/>
      <c r="G67" s="111"/>
      <c r="H67" s="107"/>
      <c r="I67" s="107"/>
      <c r="J67" s="112"/>
      <c r="K67" s="112"/>
      <c r="L67" s="113"/>
      <c r="M67" s="114"/>
      <c r="N67" s="114"/>
      <c r="O67" s="115"/>
      <c r="P67" s="109"/>
      <c r="Q67" s="116"/>
      <c r="R67" s="116"/>
      <c r="S67" s="116"/>
      <c r="T67" s="116"/>
      <c r="U67" s="117"/>
      <c r="V67" s="117"/>
      <c r="W67" s="117"/>
    </row>
    <row r="68" spans="1:23" s="118" customFormat="1" ht="12.75">
      <c r="A68" s="106"/>
      <c r="B68" s="107"/>
      <c r="C68" s="107"/>
      <c r="D68" s="108" t="s">
        <v>21</v>
      </c>
      <c r="E68" s="109" t="s">
        <v>103</v>
      </c>
      <c r="F68" s="110"/>
      <c r="G68" s="111"/>
      <c r="H68" s="107"/>
      <c r="I68" s="107"/>
      <c r="J68" s="112"/>
      <c r="K68" s="112"/>
      <c r="L68" s="113"/>
      <c r="M68" s="114"/>
      <c r="N68" s="114"/>
      <c r="O68" s="115"/>
      <c r="P68" s="109"/>
      <c r="Q68" s="116"/>
      <c r="R68" s="116"/>
      <c r="S68" s="116"/>
      <c r="T68" s="116"/>
      <c r="U68" s="117"/>
      <c r="V68" s="117"/>
      <c r="W68" s="117"/>
    </row>
    <row r="69" spans="1:18" ht="12.75">
      <c r="A69" s="28"/>
      <c r="B69" s="14"/>
      <c r="C69" s="34" t="s">
        <v>25</v>
      </c>
      <c r="D69" s="35">
        <f>Q71</f>
        <v>15</v>
      </c>
      <c r="E69" s="35">
        <f>V71</f>
        <v>6</v>
      </c>
      <c r="F69" s="29"/>
      <c r="G69" s="18"/>
      <c r="H69" s="19"/>
      <c r="I69" s="19"/>
      <c r="J69" s="36" t="s">
        <v>26</v>
      </c>
      <c r="K69" s="37"/>
      <c r="L69" s="21"/>
      <c r="M69" s="22"/>
      <c r="N69" s="22"/>
      <c r="O69" s="38"/>
      <c r="P69" s="23"/>
      <c r="R69" s="12">
        <f>IF($L69="Scheduled",1,"")</f>
      </c>
    </row>
    <row r="70" spans="1:18" ht="12.75">
      <c r="A70" s="28"/>
      <c r="B70" s="14"/>
      <c r="C70" s="34" t="s">
        <v>27</v>
      </c>
      <c r="D70" s="35">
        <f>D71-D69</f>
        <v>14</v>
      </c>
      <c r="E70" s="35">
        <f>E71-E69</f>
        <v>3</v>
      </c>
      <c r="F70" s="29"/>
      <c r="G70" s="18"/>
      <c r="H70" s="19"/>
      <c r="I70" s="19"/>
      <c r="J70" s="15" t="s">
        <v>28</v>
      </c>
      <c r="K70" s="39" t="s">
        <v>13</v>
      </c>
      <c r="L70" s="21"/>
      <c r="M70" s="22"/>
      <c r="N70" s="22"/>
      <c r="O70" s="38"/>
      <c r="P70" s="23"/>
      <c r="R70" s="12">
        <f>IF($L70="Scheduled",1,"")</f>
      </c>
    </row>
    <row r="71" spans="1:29" ht="13.5" thickBot="1">
      <c r="A71" s="28"/>
      <c r="B71" s="14"/>
      <c r="C71" s="34" t="s">
        <v>29</v>
      </c>
      <c r="D71" s="40">
        <f>COUNT(A6:A51)</f>
        <v>29</v>
      </c>
      <c r="E71" s="40">
        <f>COUNT(A53:A66)</f>
        <v>9</v>
      </c>
      <c r="F71" s="29"/>
      <c r="G71" s="18"/>
      <c r="H71" s="19"/>
      <c r="I71" s="19"/>
      <c r="J71" s="41">
        <f>SUM(J6:J52)/2</f>
        <v>34.41666666709352</v>
      </c>
      <c r="K71" s="41">
        <f>SUM(K6:K52)/2</f>
        <v>34.41666666709352</v>
      </c>
      <c r="L71" s="21"/>
      <c r="M71" s="22"/>
      <c r="N71" s="22"/>
      <c r="O71" s="38"/>
      <c r="P71" s="23"/>
      <c r="Q71" s="40">
        <f>SUM(Q1:Q52)</f>
        <v>15</v>
      </c>
      <c r="R71" s="40">
        <f>SUM(R1:R52)</f>
        <v>14</v>
      </c>
      <c r="S71" s="40">
        <f>SUM(S1:S52)</f>
        <v>3</v>
      </c>
      <c r="T71" s="40">
        <f>SUM(T1:T67)</f>
        <v>42</v>
      </c>
      <c r="V71" s="40">
        <f>SUM(Q53:Q66)</f>
        <v>6</v>
      </c>
      <c r="AA71" s="30"/>
      <c r="AB71" s="30"/>
      <c r="AC71" s="30"/>
    </row>
    <row r="72" spans="1:19" ht="14.25" thickBot="1" thickTop="1">
      <c r="A72" s="28"/>
      <c r="B72" s="14"/>
      <c r="C72" s="34"/>
      <c r="D72" s="15"/>
      <c r="E72" s="16"/>
      <c r="F72" s="29"/>
      <c r="G72" s="18"/>
      <c r="H72" s="19"/>
      <c r="I72" s="19"/>
      <c r="J72" s="41">
        <f>SUM(J53:J69)/2</f>
        <v>6.999999999941792</v>
      </c>
      <c r="K72" s="41">
        <f>SUM(K53:K69)/2</f>
        <v>6.999999999941792</v>
      </c>
      <c r="L72" s="21"/>
      <c r="M72" s="22"/>
      <c r="N72" s="22"/>
      <c r="O72" s="21"/>
      <c r="P72" s="23"/>
      <c r="R72" s="42" t="s">
        <v>21</v>
      </c>
      <c r="S72" s="12" t="s">
        <v>30</v>
      </c>
    </row>
    <row r="73" spans="1:26" ht="13.5" thickTop="1">
      <c r="A73" s="28"/>
      <c r="B73" s="14"/>
      <c r="C73" s="34" t="s">
        <v>31</v>
      </c>
      <c r="D73" s="15">
        <f>SUM(D6:D52)/2</f>
        <v>1932.5833333329065</v>
      </c>
      <c r="E73" s="43">
        <f>D73/24</f>
        <v>80.52430555553777</v>
      </c>
      <c r="F73" s="44" t="s">
        <v>32</v>
      </c>
      <c r="G73" s="18"/>
      <c r="H73" s="19"/>
      <c r="I73" s="12"/>
      <c r="J73" s="12"/>
      <c r="K73" s="12"/>
      <c r="L73" s="21"/>
      <c r="M73" s="14"/>
      <c r="N73" s="196" t="s">
        <v>96</v>
      </c>
      <c r="O73" s="15">
        <f>SUM(D53:D67)/2+72</f>
        <v>463.30833333331975</v>
      </c>
      <c r="P73" s="23"/>
      <c r="Q73" s="12" t="e">
        <f>IF(#REF!="Store Lost",1,"")</f>
        <v>#REF!</v>
      </c>
      <c r="T73" s="45"/>
      <c r="U73" s="30"/>
      <c r="V73" s="30"/>
      <c r="W73" s="30"/>
      <c r="X73" s="30"/>
      <c r="Y73" s="30"/>
      <c r="Z73" s="30"/>
    </row>
    <row r="74" spans="1:17" ht="12.75">
      <c r="A74" s="28"/>
      <c r="B74" s="14"/>
      <c r="C74" s="34" t="s">
        <v>33</v>
      </c>
      <c r="D74" s="15">
        <f>J71</f>
        <v>34.41666666709352</v>
      </c>
      <c r="E74" s="16" t="s">
        <v>34</v>
      </c>
      <c r="F74" s="29"/>
      <c r="G74" s="18"/>
      <c r="H74" s="19"/>
      <c r="I74" s="12"/>
      <c r="J74" s="12"/>
      <c r="K74" s="12"/>
      <c r="L74" s="21"/>
      <c r="M74" s="14"/>
      <c r="N74" s="196" t="s">
        <v>97</v>
      </c>
      <c r="O74" s="15">
        <f>J72</f>
        <v>6.999999999941792</v>
      </c>
      <c r="P74" s="23"/>
      <c r="Q74" s="12" t="e">
        <f>IF(#REF!="Store Lost",1,"")</f>
        <v>#REF!</v>
      </c>
    </row>
    <row r="75" spans="1:17" ht="13.5" thickBot="1">
      <c r="A75" s="28"/>
      <c r="B75" s="14"/>
      <c r="C75" s="34" t="s">
        <v>35</v>
      </c>
      <c r="D75" s="40">
        <f>SUM(D73:D74)</f>
        <v>1967</v>
      </c>
      <c r="E75" s="43"/>
      <c r="F75" s="29"/>
      <c r="G75" s="18"/>
      <c r="H75" s="19"/>
      <c r="I75" s="12"/>
      <c r="J75" s="12"/>
      <c r="K75" s="12"/>
      <c r="L75" s="21"/>
      <c r="M75" s="14"/>
      <c r="N75" s="196" t="s">
        <v>98</v>
      </c>
      <c r="O75" s="40">
        <f>SUM(O73:O74)</f>
        <v>470.30833333326154</v>
      </c>
      <c r="P75" s="23"/>
      <c r="Q75" s="12" t="e">
        <f>IF(#REF!="Store Lost",1,"")</f>
        <v>#REF!</v>
      </c>
    </row>
    <row r="76" spans="1:18" ht="13.5" thickTop="1">
      <c r="A76" s="28"/>
      <c r="B76" s="14"/>
      <c r="C76" s="34"/>
      <c r="D76" s="46"/>
      <c r="E76" s="47"/>
      <c r="F76" s="29"/>
      <c r="G76" s="18"/>
      <c r="H76" s="15"/>
      <c r="I76" s="12"/>
      <c r="J76" s="12"/>
      <c r="K76" s="12"/>
      <c r="L76" s="21"/>
      <c r="M76" s="14"/>
      <c r="N76" s="34"/>
      <c r="O76" s="46"/>
      <c r="P76" s="23"/>
      <c r="Q76" s="48">
        <f>Q71+R71</f>
        <v>29</v>
      </c>
      <c r="R76" s="12">
        <f>IF($P77="Store Lost",1,"")</f>
      </c>
    </row>
    <row r="77" spans="1:18" ht="12.75">
      <c r="A77" s="28"/>
      <c r="B77" s="14"/>
      <c r="C77" s="34" t="s">
        <v>36</v>
      </c>
      <c r="D77" s="49">
        <f>IF(D69,D73/D69,D73)</f>
        <v>128.83888888886042</v>
      </c>
      <c r="E77" s="16"/>
      <c r="F77" s="29"/>
      <c r="G77" s="18"/>
      <c r="I77" s="12"/>
      <c r="J77" s="12"/>
      <c r="K77" s="12"/>
      <c r="M77" s="14"/>
      <c r="N77" s="34" t="s">
        <v>36</v>
      </c>
      <c r="O77" s="49">
        <f>IF(E69,O73/E69,O73)</f>
        <v>77.21805555555329</v>
      </c>
      <c r="Q77" s="23"/>
      <c r="R77" s="12">
        <f>IF($P79="Store Lost",1,"")</f>
      </c>
    </row>
    <row r="78" spans="1:18" ht="12.75">
      <c r="A78" s="28"/>
      <c r="B78" s="14"/>
      <c r="C78" s="34" t="s">
        <v>37</v>
      </c>
      <c r="D78" s="46">
        <f>IF(D69,24/D77,0)</f>
        <v>0.18627916001901404</v>
      </c>
      <c r="E78" s="51"/>
      <c r="F78" s="52"/>
      <c r="G78" s="53"/>
      <c r="I78" s="12"/>
      <c r="J78" s="12"/>
      <c r="K78" s="12"/>
      <c r="M78" s="14"/>
      <c r="N78" s="34" t="s">
        <v>37</v>
      </c>
      <c r="O78" s="46">
        <f>IF(K72,24/O77,0)</f>
        <v>0.31080813712971034</v>
      </c>
      <c r="Q78" s="23"/>
      <c r="R78" s="12" t="e">
        <f>NA()</f>
        <v>#N/A</v>
      </c>
    </row>
    <row r="79" spans="1:18" ht="12.75">
      <c r="A79" s="28"/>
      <c r="B79" s="14"/>
      <c r="C79" s="34" t="s">
        <v>38</v>
      </c>
      <c r="D79" s="119">
        <f>D73/D75</f>
        <v>0.982502965598834</v>
      </c>
      <c r="E79" s="54"/>
      <c r="F79" s="29"/>
      <c r="G79" s="18"/>
      <c r="I79" s="12"/>
      <c r="J79" s="12"/>
      <c r="K79" s="12"/>
      <c r="M79" s="14"/>
      <c r="N79" s="34" t="s">
        <v>38</v>
      </c>
      <c r="O79" s="119">
        <f>O73/O75</f>
        <v>0.9851161472085131</v>
      </c>
      <c r="Q79" s="23"/>
      <c r="R79" s="12" t="e">
        <f>NA()</f>
        <v>#N/A</v>
      </c>
    </row>
    <row r="80" spans="1:29" s="55" customFormat="1" ht="13.5" thickBot="1">
      <c r="A80" s="28"/>
      <c r="B80" s="14"/>
      <c r="C80" s="14"/>
      <c r="D80" s="15"/>
      <c r="E80" s="16"/>
      <c r="F80" s="29"/>
      <c r="G80" s="18"/>
      <c r="H80" s="7"/>
      <c r="I80" s="7"/>
      <c r="J80" s="3"/>
      <c r="K80" s="50"/>
      <c r="L80" s="9"/>
      <c r="M80" s="10"/>
      <c r="N80" s="10"/>
      <c r="O80" s="9"/>
      <c r="P80" s="11"/>
      <c r="Q80" s="23"/>
      <c r="R80" s="12">
        <f aca="true" t="shared" si="10" ref="R80:R88">IF($P82="Store Lost",1,"")</f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18" ht="12.75">
      <c r="A81" s="28"/>
      <c r="B81" s="14"/>
      <c r="C81" s="14"/>
      <c r="D81" s="15"/>
      <c r="E81" s="16"/>
      <c r="F81" s="29"/>
      <c r="G81" s="18"/>
      <c r="K81" s="50"/>
      <c r="Q81" s="23"/>
      <c r="R81" s="12">
        <f t="shared" si="10"/>
      </c>
    </row>
    <row r="82" spans="1:18" ht="12.75">
      <c r="A82" s="28"/>
      <c r="B82" s="14"/>
      <c r="C82" s="14"/>
      <c r="D82" s="15"/>
      <c r="E82" s="16"/>
      <c r="F82" s="29"/>
      <c r="G82" s="18"/>
      <c r="K82" s="50"/>
      <c r="Q82" s="23"/>
      <c r="R82" s="12">
        <f t="shared" si="10"/>
      </c>
    </row>
    <row r="83" spans="1:18" ht="12.75">
      <c r="A83" s="28"/>
      <c r="B83" s="14"/>
      <c r="C83" s="14"/>
      <c r="D83" s="15"/>
      <c r="E83" s="16"/>
      <c r="F83" s="29"/>
      <c r="G83" s="18"/>
      <c r="K83" s="50"/>
      <c r="Q83" s="23"/>
      <c r="R83" s="12">
        <f t="shared" si="10"/>
      </c>
    </row>
    <row r="84" spans="1:18" ht="12.75">
      <c r="A84" s="28"/>
      <c r="B84" s="14"/>
      <c r="C84" s="14"/>
      <c r="D84" s="15"/>
      <c r="E84" s="16"/>
      <c r="F84" s="29"/>
      <c r="G84" s="18"/>
      <c r="K84" s="50"/>
      <c r="Q84" s="23"/>
      <c r="R84" s="12">
        <f t="shared" si="10"/>
      </c>
    </row>
    <row r="85" spans="1:18" ht="12.75">
      <c r="A85" s="28"/>
      <c r="B85" s="14"/>
      <c r="C85" s="14"/>
      <c r="D85" s="15"/>
      <c r="E85" s="16"/>
      <c r="F85" s="29"/>
      <c r="G85" s="18"/>
      <c r="K85" s="50"/>
      <c r="Q85" s="23"/>
      <c r="R85" s="12">
        <f t="shared" si="10"/>
      </c>
    </row>
    <row r="86" spans="1:18" ht="12.75">
      <c r="A86" s="28"/>
      <c r="B86" s="14"/>
      <c r="C86" s="14"/>
      <c r="D86" s="15"/>
      <c r="E86" s="16"/>
      <c r="F86" s="29"/>
      <c r="G86" s="18"/>
      <c r="K86" s="50"/>
      <c r="Q86" s="23"/>
      <c r="R86" s="12">
        <f t="shared" si="10"/>
      </c>
    </row>
    <row r="87" spans="1:18" ht="12.75">
      <c r="A87" s="28"/>
      <c r="B87" s="14"/>
      <c r="C87" s="14"/>
      <c r="D87" s="15"/>
      <c r="E87" s="16"/>
      <c r="F87" s="29"/>
      <c r="G87" s="18"/>
      <c r="K87" s="50"/>
      <c r="Q87" s="23"/>
      <c r="R87" s="12">
        <f t="shared" si="10"/>
      </c>
    </row>
    <row r="88" spans="1:18" ht="12.75">
      <c r="A88" s="28"/>
      <c r="B88" s="14"/>
      <c r="C88" s="14"/>
      <c r="D88" s="15"/>
      <c r="E88" s="16"/>
      <c r="F88" s="29"/>
      <c r="G88" s="18"/>
      <c r="K88" s="50"/>
      <c r="Q88" s="23"/>
      <c r="R88" s="12">
        <f t="shared" si="10"/>
      </c>
    </row>
    <row r="89" spans="1:29" s="56" customFormat="1" ht="12.75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0"/>
      <c r="L89" s="9"/>
      <c r="M89" s="10"/>
      <c r="N89" s="10"/>
      <c r="O89" s="9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s="30" customFormat="1" ht="12.75">
      <c r="A90" s="28"/>
      <c r="B90" s="14"/>
      <c r="C90" s="14"/>
      <c r="D90" s="15"/>
      <c r="E90" s="16"/>
      <c r="F90" s="29"/>
      <c r="G90" s="18"/>
      <c r="H90" s="7"/>
      <c r="I90" s="7"/>
      <c r="J90" s="3"/>
      <c r="K90" s="50"/>
      <c r="L90" s="9"/>
      <c r="M90" s="10"/>
      <c r="N90" s="10"/>
      <c r="O90" s="9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55"/>
      <c r="AB90" s="55"/>
      <c r="AC90" s="55"/>
    </row>
    <row r="91" spans="1:16" ht="12.75">
      <c r="A91" s="28"/>
      <c r="B91" s="14"/>
      <c r="C91" s="14"/>
      <c r="D91" s="15"/>
      <c r="E91" s="16"/>
      <c r="F91" s="29"/>
      <c r="G91" s="18"/>
      <c r="H91" s="19"/>
      <c r="I91" s="19"/>
      <c r="J91" s="15"/>
      <c r="K91" s="20"/>
      <c r="L91" s="21"/>
      <c r="M91" s="22"/>
      <c r="N91" s="22"/>
      <c r="O91" s="21"/>
      <c r="P91" s="23"/>
    </row>
    <row r="92" spans="1:26" ht="12.75">
      <c r="A92" s="28"/>
      <c r="B92" s="14"/>
      <c r="C92" s="14"/>
      <c r="E92" s="16"/>
      <c r="F92" s="29"/>
      <c r="G92" s="18"/>
      <c r="H92" s="19"/>
      <c r="I92" s="19"/>
      <c r="L92" s="21"/>
      <c r="M92" s="22"/>
      <c r="N92" s="22"/>
      <c r="O92" s="21"/>
      <c r="P92" s="23"/>
      <c r="U92" s="55"/>
      <c r="V92" s="55"/>
      <c r="W92" s="55"/>
      <c r="X92" s="55"/>
      <c r="Y92" s="55"/>
      <c r="Z92" s="55"/>
    </row>
    <row r="93" spans="1:16" ht="12.75">
      <c r="A93" s="28"/>
      <c r="B93" s="14"/>
      <c r="C93" s="14"/>
      <c r="E93" s="16"/>
      <c r="F93" s="29"/>
      <c r="G93" s="18"/>
      <c r="H93" s="19"/>
      <c r="I93" s="19"/>
      <c r="L93" s="21"/>
      <c r="M93" s="22"/>
      <c r="N93" s="22"/>
      <c r="O93" s="21"/>
      <c r="P93" s="23"/>
    </row>
    <row r="94" spans="1:16" ht="12.75">
      <c r="A94" s="28"/>
      <c r="B94" s="14"/>
      <c r="C94" s="14"/>
      <c r="E94" s="16"/>
      <c r="F94" s="29"/>
      <c r="G94" s="18"/>
      <c r="H94" s="19"/>
      <c r="I94" s="19"/>
      <c r="L94" s="21"/>
      <c r="M94" s="22"/>
      <c r="N94" s="22"/>
      <c r="O94" s="21"/>
      <c r="P94" s="23"/>
    </row>
    <row r="95" spans="1:16" ht="12.75">
      <c r="A95" s="28"/>
      <c r="B95" s="14"/>
      <c r="C95" s="14"/>
      <c r="F95" s="29"/>
      <c r="G95" s="18"/>
      <c r="H95" s="19"/>
      <c r="I95" s="19"/>
      <c r="L95" s="21"/>
      <c r="M95" s="22"/>
      <c r="N95" s="22"/>
      <c r="O95" s="21"/>
      <c r="P95" s="23"/>
    </row>
    <row r="96" spans="1:20" ht="12.75">
      <c r="A96" s="28"/>
      <c r="B96" s="14"/>
      <c r="C96" s="14"/>
      <c r="F96" s="29"/>
      <c r="G96" s="18"/>
      <c r="H96" s="19"/>
      <c r="I96" s="19"/>
      <c r="L96" s="21"/>
      <c r="M96" s="22"/>
      <c r="N96" s="22"/>
      <c r="O96" s="21"/>
      <c r="P96" s="23"/>
      <c r="R96" s="55"/>
      <c r="S96" s="55"/>
      <c r="T96" s="55"/>
    </row>
    <row r="97" spans="2:16" ht="12.75">
      <c r="B97" s="14"/>
      <c r="C97" s="14"/>
      <c r="F97" s="29"/>
      <c r="G97" s="18"/>
      <c r="H97" s="19"/>
      <c r="I97" s="19"/>
      <c r="L97" s="21"/>
      <c r="M97" s="22"/>
      <c r="N97" s="22"/>
      <c r="O97" s="21"/>
      <c r="P97" s="23"/>
    </row>
    <row r="98" spans="2:17" ht="12.75">
      <c r="B98" s="14"/>
      <c r="C98" s="14"/>
      <c r="F98" s="29"/>
      <c r="G98" s="18"/>
      <c r="H98" s="19"/>
      <c r="I98" s="19"/>
      <c r="L98" s="21"/>
      <c r="M98" s="22"/>
      <c r="N98" s="22"/>
      <c r="O98" s="21"/>
      <c r="P98" s="23"/>
      <c r="Q98" s="12">
        <f aca="true" t="shared" si="11" ref="Q98:Q129">IF($O100="Store Lost",1,"")</f>
      </c>
    </row>
    <row r="99" spans="2:29" ht="12.75">
      <c r="B99" s="14"/>
      <c r="C99" s="14"/>
      <c r="F99" s="29"/>
      <c r="G99" s="18"/>
      <c r="H99" s="19"/>
      <c r="I99" s="19"/>
      <c r="L99" s="21"/>
      <c r="M99" s="22"/>
      <c r="N99" s="22"/>
      <c r="O99" s="21"/>
      <c r="P99" s="23"/>
      <c r="Q99" s="12">
        <f t="shared" si="11"/>
      </c>
      <c r="AA99" s="56"/>
      <c r="AB99" s="56"/>
      <c r="AC99" s="56"/>
    </row>
    <row r="100" spans="2:29" ht="12.75">
      <c r="B100" s="14"/>
      <c r="C100" s="14"/>
      <c r="Q100" s="12">
        <f t="shared" si="11"/>
      </c>
      <c r="AA100" s="30"/>
      <c r="AB100" s="30"/>
      <c r="AC100" s="30"/>
    </row>
    <row r="101" spans="17:26" ht="12.75">
      <c r="Q101" s="12">
        <f t="shared" si="11"/>
      </c>
      <c r="U101" s="56"/>
      <c r="V101" s="56"/>
      <c r="W101" s="56"/>
      <c r="X101" s="56"/>
      <c r="Y101" s="56"/>
      <c r="Z101" s="56"/>
    </row>
    <row r="102" spans="17:26" ht="12.75">
      <c r="Q102" s="12">
        <f t="shared" si="11"/>
      </c>
      <c r="U102" s="30"/>
      <c r="V102" s="30"/>
      <c r="W102" s="30"/>
      <c r="X102" s="30"/>
      <c r="Y102" s="30"/>
      <c r="Z102" s="30"/>
    </row>
    <row r="103" spans="1:29" s="55" customFormat="1" ht="12.75">
      <c r="A103" s="1"/>
      <c r="B103" s="2"/>
      <c r="C103" s="2"/>
      <c r="D103" s="3"/>
      <c r="E103" s="4"/>
      <c r="F103" s="5"/>
      <c r="G103" s="6"/>
      <c r="H103" s="7"/>
      <c r="I103" s="7"/>
      <c r="J103" s="3"/>
      <c r="K103" s="8"/>
      <c r="L103" s="9"/>
      <c r="M103" s="10"/>
      <c r="N103" s="10"/>
      <c r="O103" s="9"/>
      <c r="P103" s="11"/>
      <c r="Q103" s="12">
        <f t="shared" si="11"/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ht="12.75">
      <c r="Q104" s="12">
        <f t="shared" si="11"/>
      </c>
    </row>
    <row r="105" spans="17:20" ht="12.75">
      <c r="Q105" s="12">
        <f t="shared" si="11"/>
      </c>
      <c r="R105" s="56"/>
      <c r="S105" s="56"/>
      <c r="T105" s="56"/>
    </row>
    <row r="106" spans="17:20" ht="12.75">
      <c r="Q106" s="12">
        <f t="shared" si="11"/>
      </c>
      <c r="R106" s="30"/>
      <c r="S106" s="30"/>
      <c r="T106" s="30"/>
    </row>
    <row r="107" ht="12.75">
      <c r="Q107" s="12">
        <f t="shared" si="11"/>
      </c>
    </row>
    <row r="108" ht="12.75">
      <c r="Q108" s="12">
        <f t="shared" si="11"/>
      </c>
    </row>
    <row r="109" ht="12.75">
      <c r="Q109" s="12">
        <f t="shared" si="11"/>
      </c>
    </row>
    <row r="110" ht="12.75">
      <c r="Q110" s="12">
        <f t="shared" si="11"/>
      </c>
    </row>
    <row r="111" ht="12.75">
      <c r="Q111" s="12">
        <f t="shared" si="11"/>
      </c>
    </row>
    <row r="112" ht="12.75">
      <c r="Q112" s="12">
        <f t="shared" si="11"/>
      </c>
    </row>
    <row r="113" spans="17:29" ht="12.75">
      <c r="Q113" s="12">
        <f t="shared" si="11"/>
      </c>
      <c r="AA113" s="55"/>
      <c r="AB113" s="55"/>
      <c r="AC113" s="55"/>
    </row>
    <row r="114" ht="12.75">
      <c r="Q114" s="12">
        <f t="shared" si="11"/>
      </c>
    </row>
    <row r="115" spans="17:26" ht="12.75">
      <c r="Q115" s="12">
        <f t="shared" si="11"/>
      </c>
      <c r="U115" s="55"/>
      <c r="V115" s="55"/>
      <c r="W115" s="55"/>
      <c r="X115" s="55"/>
      <c r="Y115" s="55"/>
      <c r="Z115" s="55"/>
    </row>
    <row r="116" spans="1:29" s="55" customFormat="1" ht="12.75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>
        <f t="shared" si="11"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30" customFormat="1" ht="12.75">
      <c r="A117" s="1"/>
      <c r="B117" s="2"/>
      <c r="C117" s="2"/>
      <c r="D117" s="3"/>
      <c r="E117" s="4"/>
      <c r="F117" s="5"/>
      <c r="G117" s="6"/>
      <c r="H117" s="7"/>
      <c r="I117" s="7"/>
      <c r="J117" s="3"/>
      <c r="K117" s="8"/>
      <c r="L117" s="9"/>
      <c r="M117" s="10"/>
      <c r="N117" s="10"/>
      <c r="O117" s="9"/>
      <c r="P117" s="11"/>
      <c r="Q117" s="12">
        <f t="shared" si="11"/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s="55" customFormat="1" ht="12.75">
      <c r="A118" s="1"/>
      <c r="B118" s="2"/>
      <c r="C118" s="2"/>
      <c r="D118" s="3"/>
      <c r="E118" s="4"/>
      <c r="F118" s="5"/>
      <c r="G118" s="6"/>
      <c r="H118" s="7"/>
      <c r="I118" s="7"/>
      <c r="J118" s="3"/>
      <c r="K118" s="8"/>
      <c r="L118" s="9"/>
      <c r="M118" s="10"/>
      <c r="N118" s="10"/>
      <c r="O118" s="9"/>
      <c r="P118" s="11"/>
      <c r="Q118" s="12">
        <f t="shared" si="11"/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7:20" ht="12.75">
      <c r="Q119" s="12">
        <f t="shared" si="11"/>
      </c>
      <c r="R119" s="55"/>
      <c r="S119" s="55"/>
      <c r="T119" s="55"/>
    </row>
    <row r="120" ht="12.75">
      <c r="Q120" s="12">
        <f t="shared" si="11"/>
      </c>
    </row>
    <row r="121" ht="12.75">
      <c r="Q121" s="12">
        <f t="shared" si="11"/>
      </c>
    </row>
    <row r="122" ht="12.75">
      <c r="Q122" s="12">
        <f t="shared" si="11"/>
      </c>
    </row>
    <row r="123" ht="12.75">
      <c r="Q123" s="12">
        <f t="shared" si="11"/>
      </c>
    </row>
    <row r="124" ht="12.75">
      <c r="Q124" s="12">
        <f t="shared" si="11"/>
      </c>
    </row>
    <row r="125" ht="12.75">
      <c r="Q125" s="12">
        <f t="shared" si="11"/>
      </c>
    </row>
    <row r="126" spans="17:29" ht="12.75">
      <c r="Q126" s="12">
        <f t="shared" si="11"/>
      </c>
      <c r="AA126" s="55"/>
      <c r="AB126" s="55"/>
      <c r="AC126" s="55"/>
    </row>
    <row r="127" spans="17:29" ht="12.75">
      <c r="Q127" s="12">
        <f t="shared" si="11"/>
      </c>
      <c r="AA127" s="30"/>
      <c r="AB127" s="30"/>
      <c r="AC127" s="30"/>
    </row>
    <row r="128" spans="17:29" ht="12.75">
      <c r="Q128" s="12">
        <f t="shared" si="11"/>
      </c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7:26" ht="12.75">
      <c r="Q129" s="12">
        <f t="shared" si="11"/>
      </c>
      <c r="U129" s="30"/>
      <c r="V129" s="30"/>
      <c r="W129" s="30"/>
      <c r="X129" s="30"/>
      <c r="Y129" s="30"/>
      <c r="Z129" s="30"/>
    </row>
    <row r="130" spans="17:26" ht="12.75">
      <c r="Q130" s="12">
        <f aca="true" t="shared" si="12" ref="Q130:Q155">IF($O132="Store Lost",1,"")</f>
      </c>
      <c r="U130" s="55"/>
      <c r="V130" s="55"/>
      <c r="W130" s="55"/>
      <c r="X130" s="55"/>
      <c r="Y130" s="55"/>
      <c r="Z130" s="55"/>
    </row>
    <row r="131" ht="12.75">
      <c r="Q131" s="12">
        <f t="shared" si="12"/>
      </c>
    </row>
    <row r="132" spans="17:20" ht="12.75">
      <c r="Q132" s="12">
        <f t="shared" si="12"/>
      </c>
      <c r="R132" s="55"/>
      <c r="S132" s="55"/>
      <c r="T132" s="55"/>
    </row>
    <row r="133" spans="17:20" ht="12.75">
      <c r="Q133" s="12">
        <f t="shared" si="12"/>
      </c>
      <c r="R133" s="30"/>
      <c r="S133" s="30"/>
      <c r="T133" s="30"/>
    </row>
    <row r="134" spans="17:20" ht="12.75">
      <c r="Q134" s="12">
        <f t="shared" si="12"/>
      </c>
      <c r="R134" s="55"/>
      <c r="S134" s="55"/>
      <c r="T134" s="55"/>
    </row>
    <row r="135" ht="12.75">
      <c r="Q135" s="12">
        <f t="shared" si="12"/>
      </c>
    </row>
    <row r="136" ht="12.75">
      <c r="Q136" s="12">
        <f t="shared" si="12"/>
      </c>
    </row>
    <row r="137" ht="12.75">
      <c r="Q137" s="12">
        <f t="shared" si="12"/>
      </c>
    </row>
    <row r="138" ht="12.75">
      <c r="Q138" s="12">
        <f t="shared" si="12"/>
      </c>
    </row>
    <row r="139" spans="1:29" s="55" customFormat="1" ht="12.75">
      <c r="A139" s="1"/>
      <c r="B139" s="2"/>
      <c r="C139" s="2"/>
      <c r="D139" s="3"/>
      <c r="E139" s="4"/>
      <c r="F139" s="5"/>
      <c r="G139" s="6"/>
      <c r="H139" s="7"/>
      <c r="I139" s="7"/>
      <c r="J139" s="3"/>
      <c r="K139" s="8"/>
      <c r="L139" s="9"/>
      <c r="M139" s="10"/>
      <c r="N139" s="10"/>
      <c r="O139" s="9"/>
      <c r="P139" s="11"/>
      <c r="Q139" s="12">
        <f t="shared" si="12"/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ht="12.75">
      <c r="Q140" s="12">
        <f t="shared" si="12"/>
      </c>
    </row>
    <row r="141" ht="12.75">
      <c r="Q141" s="12">
        <f t="shared" si="12"/>
      </c>
    </row>
    <row r="142" ht="12.75">
      <c r="Q142" s="12">
        <f t="shared" si="12"/>
      </c>
    </row>
    <row r="143" ht="12.75">
      <c r="Q143" s="12">
        <f t="shared" si="12"/>
      </c>
    </row>
    <row r="144" ht="12.75">
      <c r="Q144" s="12">
        <f t="shared" si="12"/>
      </c>
    </row>
    <row r="145" ht="12.75">
      <c r="Q145" s="12">
        <f t="shared" si="12"/>
      </c>
    </row>
    <row r="146" ht="12.75">
      <c r="Q146" s="12">
        <f t="shared" si="12"/>
      </c>
    </row>
    <row r="147" ht="12.75">
      <c r="Q147" s="12">
        <f t="shared" si="12"/>
      </c>
    </row>
    <row r="148" ht="12.75">
      <c r="Q148" s="12">
        <f t="shared" si="12"/>
      </c>
    </row>
    <row r="149" spans="17:29" ht="12.75">
      <c r="Q149" s="12">
        <f t="shared" si="12"/>
      </c>
      <c r="AA149" s="55"/>
      <c r="AB149" s="55"/>
      <c r="AC149" s="55"/>
    </row>
    <row r="150" ht="12.75">
      <c r="Q150" s="12">
        <f t="shared" si="12"/>
      </c>
    </row>
    <row r="151" spans="17:26" ht="12.75">
      <c r="Q151" s="12">
        <f t="shared" si="12"/>
      </c>
      <c r="U151" s="55"/>
      <c r="V151" s="55"/>
      <c r="W151" s="55"/>
      <c r="X151" s="55"/>
      <c r="Y151" s="55"/>
      <c r="Z151" s="55"/>
    </row>
    <row r="152" ht="12.75">
      <c r="Q152" s="12">
        <f t="shared" si="12"/>
      </c>
    </row>
    <row r="153" ht="12.75">
      <c r="Q153" s="12">
        <f t="shared" si="12"/>
      </c>
    </row>
    <row r="154" ht="12.75">
      <c r="Q154" s="12">
        <f t="shared" si="12"/>
      </c>
    </row>
    <row r="155" spans="17:20" ht="12.75">
      <c r="Q155" s="12">
        <f t="shared" si="12"/>
      </c>
      <c r="R155" s="55"/>
      <c r="S155" s="55"/>
      <c r="T155" s="55"/>
    </row>
    <row r="159" ht="12.75">
      <c r="Q159" s="12">
        <f>COUNT(Q67:Q155)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G4">
      <selection activeCell="N6" sqref="N6"/>
    </sheetView>
  </sheetViews>
  <sheetFormatPr defaultColWidth="9.140625" defaultRowHeight="12.75"/>
  <cols>
    <col min="1" max="1" width="21.8515625" style="0" customWidth="1"/>
    <col min="2" max="11" width="12.00390625" style="0" customWidth="1"/>
    <col min="12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2" ht="12.75">
      <c r="A3" s="175"/>
      <c r="B3" s="176" t="s">
        <v>14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2.75">
      <c r="A4" s="176" t="s">
        <v>39</v>
      </c>
      <c r="B4" s="175" t="s">
        <v>22</v>
      </c>
      <c r="C4" s="179" t="s">
        <v>23</v>
      </c>
      <c r="D4" s="179" t="s">
        <v>24</v>
      </c>
      <c r="E4" s="179" t="s">
        <v>65</v>
      </c>
      <c r="F4" s="179" t="s">
        <v>89</v>
      </c>
      <c r="G4" s="179" t="s">
        <v>86</v>
      </c>
      <c r="H4" s="179" t="s">
        <v>81</v>
      </c>
      <c r="I4" s="179" t="s">
        <v>87</v>
      </c>
      <c r="J4" s="179" t="s">
        <v>70</v>
      </c>
      <c r="K4" s="179" t="s">
        <v>106</v>
      </c>
      <c r="L4" s="180" t="s">
        <v>59</v>
      </c>
    </row>
    <row r="5" spans="1:12" ht="12.75">
      <c r="A5" s="175" t="s">
        <v>40</v>
      </c>
      <c r="B5" s="181">
        <v>0</v>
      </c>
      <c r="C5" s="182">
        <v>0</v>
      </c>
      <c r="D5" s="182">
        <v>1</v>
      </c>
      <c r="E5" s="182">
        <v>2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3">
        <v>3</v>
      </c>
    </row>
    <row r="6" spans="1:12" ht="12.75">
      <c r="A6" s="184" t="s">
        <v>41</v>
      </c>
      <c r="B6" s="185">
        <v>2</v>
      </c>
      <c r="C6" s="70">
        <v>5</v>
      </c>
      <c r="D6" s="70">
        <v>0</v>
      </c>
      <c r="E6" s="70">
        <v>0</v>
      </c>
      <c r="F6" s="70">
        <v>2</v>
      </c>
      <c r="G6" s="70">
        <v>2</v>
      </c>
      <c r="H6" s="70">
        <v>1</v>
      </c>
      <c r="I6" s="70">
        <v>1</v>
      </c>
      <c r="J6" s="70">
        <v>1</v>
      </c>
      <c r="K6" s="70">
        <v>1</v>
      </c>
      <c r="L6" s="186">
        <v>15</v>
      </c>
    </row>
    <row r="7" spans="1:12" ht="12.75">
      <c r="A7" s="187" t="s">
        <v>68</v>
      </c>
      <c r="B7" s="189">
        <v>2.7666666667792015</v>
      </c>
      <c r="C7" s="190">
        <v>4.416666666744277</v>
      </c>
      <c r="D7" s="188">
        <v>4.883333333360497</v>
      </c>
      <c r="E7" s="188">
        <v>1.5666666667093523</v>
      </c>
      <c r="F7" s="188">
        <v>3</v>
      </c>
      <c r="G7" s="188">
        <v>3.1333333334187046</v>
      </c>
      <c r="H7" s="188">
        <v>2.8833333333022892</v>
      </c>
      <c r="I7" s="188">
        <v>2.4833333333954215</v>
      </c>
      <c r="J7" s="188">
        <v>0.6833333332906477</v>
      </c>
      <c r="K7" s="188">
        <v>8.600000000093132</v>
      </c>
      <c r="L7" s="191">
        <v>34.41666666709352</v>
      </c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92" t="s">
        <v>69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105</v>
      </c>
      <c r="B14" s="156">
        <f>IF(B16,SUM(B16/B25),"")</f>
        <v>0.002245382138660029</v>
      </c>
      <c r="C14" s="156">
        <f>IF(C16,SUM(C16/B25),"")</f>
      </c>
      <c r="D14" s="156">
        <f>IF(D16,SUM(D16/B25),"")</f>
        <v>0.0014065412642497211</v>
      </c>
      <c r="E14" s="156">
        <f>IF(E16,SUM(E16/B25),"")</f>
        <v>0.001525165226232842</v>
      </c>
      <c r="F14" s="156">
        <f>IF(F16,SUM(F16/B25),"")</f>
      </c>
      <c r="G14" s="156">
        <f>IF(G16,SUM(G16/B25),"")</f>
      </c>
      <c r="H14" s="156">
        <f>IF(H16,SUM(H16/B25),"")</f>
        <v>0.00034739874595355756</v>
      </c>
      <c r="I14" s="156">
        <f>IF(I16,SUM(I16/B25),"")</f>
        <v>0.0024826300627150467</v>
      </c>
      <c r="J14" s="156">
        <f>IF(J16,SUM(J16/B25),"")</f>
      </c>
      <c r="K14" s="156">
        <f>IF(K16,SUM(K16/B25),"")</f>
        <v>0.0014658532451968934</v>
      </c>
      <c r="L14" s="156">
        <f>IF(L16,SUM(L16/B25),"")</f>
        <v>0.0007964751737210738</v>
      </c>
      <c r="M14" s="156">
        <f>IF(M16,SUM(M16/E25),"")</f>
      </c>
      <c r="N14" s="156">
        <f>IF(N16,SUM(N16/B25),"")</f>
      </c>
      <c r="O14" s="156">
        <f>IF(O16,SUM(O16/B25),"")</f>
        <v>0.004372140315248161</v>
      </c>
      <c r="P14" s="156" t="e">
        <f>IF(Q16,SUM(Q16/C25),"")</f>
        <v>#DIV/0!</v>
      </c>
      <c r="Q14" s="156">
        <f>IF(Q16,SUM(Q16/B25),"")</f>
        <v>0.0015929503474421476</v>
      </c>
      <c r="R14" s="63">
        <f>IF(R16,SUM(R16/B25),"")</f>
      </c>
      <c r="S14" s="63">
        <f>IF(S16,SUM(S16/B25),"")</f>
      </c>
      <c r="T14" s="63">
        <f>IF(T16,SUM(T16/B25),"")</f>
        <v>0.017497034401166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8">
        <f>GETPIVOTDATA("Sum of System 
Length",$A$3,"Group","RF")</f>
        <v>4.416666666744277</v>
      </c>
      <c r="C16" s="158"/>
      <c r="D16" s="158">
        <f>GETPIVOTDATA("Sum of System 
Length",$A$3,"Group","PS")</f>
        <v>2.7666666667792015</v>
      </c>
      <c r="E16" s="158">
        <f>GETPIVOTDATA("Sum of System 
Length",$A$3,"Group","CTL")</f>
        <v>3</v>
      </c>
      <c r="F16" s="158"/>
      <c r="G16" s="157"/>
      <c r="H16" s="158">
        <f>GETPIVOTDATA("Sum of System 
Length",$A$3,"Group","HP")</f>
        <v>0.6833333332906477</v>
      </c>
      <c r="I16" s="158">
        <f>GETPIVOTDATA("Sum of System 
Length",$A$3,"Group","MOM")</f>
        <v>4.883333333360497</v>
      </c>
      <c r="J16" s="158"/>
      <c r="K16" s="158">
        <f>GETPIVOTDATA("Sum of System 
Length",$A$3,"Group","MCR")</f>
        <v>2.8833333333022892</v>
      </c>
      <c r="L16" s="158">
        <f>GETPIVOTDATA("Sum of System 
Length",$A$3,"Group","AOP")</f>
        <v>1.5666666667093523</v>
      </c>
      <c r="N16" s="157"/>
      <c r="O16" s="158">
        <f>GETPIVOTDATA("Sum of System 
Length",$A$3,"Group","ComEd")</f>
        <v>8.600000000093132</v>
      </c>
      <c r="P16" s="158">
        <f>GETPIVOTDATA("Sum of System 
Length",$A$3,"Group","FAC")</f>
        <v>2.4833333333954215</v>
      </c>
      <c r="Q16" s="158">
        <f>GETPIVOTDATA("Sum of System 
Length",$A$3,"Group","OTH")</f>
        <v>3.1333333334187046</v>
      </c>
      <c r="R16" s="157"/>
      <c r="S16" s="155"/>
      <c r="T16" s="68">
        <f>'Main Data'!J71</f>
        <v>34.41666666709352</v>
      </c>
      <c r="U16" s="69"/>
    </row>
    <row r="17" spans="1:20" ht="12.75">
      <c r="A17" s="71" t="s">
        <v>63</v>
      </c>
      <c r="B17">
        <f>GETPIVOTDATA("Sum - Store Lost",$A$3,"Group","RF")</f>
        <v>5</v>
      </c>
      <c r="D17">
        <f>GETPIVOTDATA("Sum - Store Lost",$A$3,"Group","PS")</f>
        <v>2</v>
      </c>
      <c r="E17">
        <f>GETPIVOTDATA("Sum - Store Lost",$A$3,"Group","CTL")</f>
        <v>2</v>
      </c>
      <c r="H17">
        <f>GETPIVOTDATA("Sum - Store Lost",$A$3,"Group","HP")</f>
        <v>1</v>
      </c>
      <c r="I17">
        <f>GETPIVOTDATA("Sum - Store Lost",$A$3,"Group","MOM")</f>
        <v>0</v>
      </c>
      <c r="K17">
        <f>GETPIVOTDATA("Sum - Store Lost",$A$3,"Group","MCR")</f>
        <v>1</v>
      </c>
      <c r="L17">
        <f>GETPIVOTDATA("Sum - Store Lost",$A$3,"Group","AOP")</f>
        <v>0</v>
      </c>
      <c r="O17">
        <f>GETPIVOTDATA("Sum - Store Lost",$A$3,"Group","ComEd")</f>
        <v>1</v>
      </c>
      <c r="P17">
        <f>GETPIVOTDATA("Sum - Store Lost",$A$3,"Group","FAC")</f>
        <v>1</v>
      </c>
      <c r="Q17">
        <f>GETPIVOTDATA("Sum - Store Lost",$A$3,"Group","OTH")</f>
        <v>2</v>
      </c>
      <c r="T17" s="68">
        <f>SUM(B17:S17)</f>
        <v>15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7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92" t="s">
        <v>69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105</v>
      </c>
      <c r="B21" s="72">
        <f aca="true" t="shared" si="0" ref="B21:I21">B17/($B24/24)</f>
        <v>0.06209305333967134</v>
      </c>
      <c r="C21" s="73">
        <f t="shared" si="0"/>
        <v>0</v>
      </c>
      <c r="D21" s="73">
        <f t="shared" si="0"/>
        <v>0.024837221335868537</v>
      </c>
      <c r="E21" s="73">
        <f t="shared" si="0"/>
        <v>0.024837221335868537</v>
      </c>
      <c r="F21" s="72">
        <f t="shared" si="0"/>
        <v>0</v>
      </c>
      <c r="G21" s="72">
        <f t="shared" si="0"/>
        <v>0</v>
      </c>
      <c r="H21" s="72">
        <f t="shared" si="0"/>
        <v>0.012418610667934269</v>
      </c>
      <c r="I21" s="72">
        <f t="shared" si="0"/>
        <v>0</v>
      </c>
      <c r="J21" s="72">
        <f>J17/($B24/24)</f>
        <v>0</v>
      </c>
      <c r="K21" s="73">
        <f>K17/($B24/24)</f>
        <v>0.012418610667934269</v>
      </c>
      <c r="L21" s="73">
        <f>L17/($B24/24)</f>
        <v>0</v>
      </c>
      <c r="M21" s="72">
        <f>M17/($B24/24)</f>
        <v>0</v>
      </c>
      <c r="N21" s="73"/>
      <c r="O21" s="72">
        <f aca="true" t="shared" si="1" ref="O21:T21">O17/($B24/24)</f>
        <v>0.012418610667934269</v>
      </c>
      <c r="P21" s="72">
        <f t="shared" si="1"/>
        <v>0.012418610667934269</v>
      </c>
      <c r="Q21" s="73">
        <f>N17/($B24/24)</f>
        <v>0</v>
      </c>
      <c r="R21" s="72">
        <f t="shared" si="1"/>
        <v>0</v>
      </c>
      <c r="S21" s="72">
        <f t="shared" si="1"/>
        <v>0</v>
      </c>
      <c r="T21" s="72">
        <f t="shared" si="1"/>
        <v>0.18627916001901404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Data'!D73</f>
        <v>1932.5833333329065</v>
      </c>
    </row>
    <row r="25" spans="1:2" ht="12.75">
      <c r="A25" s="78" t="s">
        <v>35</v>
      </c>
      <c r="B25" s="76">
        <f>'Main Data'!D75</f>
        <v>1967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2020-09-29T14:13:15Z</cp:lastPrinted>
  <dcterms:created xsi:type="dcterms:W3CDTF">1998-01-15T00:06:45Z</dcterms:created>
  <dcterms:modified xsi:type="dcterms:W3CDTF">2020-09-29T16:10:23Z</dcterms:modified>
  <cp:category/>
  <cp:version/>
  <cp:contentType/>
  <cp:contentStatus/>
  <cp:revision>5</cp:revision>
</cp:coreProperties>
</file>