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0610" windowHeight="11640" tabRatio="927" activeTab="0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9"/>
  </externalReference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1">'Main Data'!$A$2:$P$5</definedName>
    <definedName name="Excel_BuiltIn_Print_Area_1_1">'Main Data'!$A$2:$P$54</definedName>
    <definedName name="Excel_BuiltIn_Print_Area_1_1_1">'Main Data'!$A$2:$P$75</definedName>
    <definedName name="Excel_BuiltIn_Print_Area_1_1_11">'Main Data'!$A$2:$P$76</definedName>
    <definedName name="Excel_BuiltIn_Print_Area_1_1_1_1">'Main Data'!$A$2:$P$62</definedName>
    <definedName name="Excel_BuiltIn_Print_Area_41">'Faults Per Day'!$A$1:$W$67</definedName>
    <definedName name="Faults_Day_of_Delivered_Beam">'Main Data'!$D$104</definedName>
    <definedName name="Mean_Time_Between_Faults">'Main Data'!$D$103</definedName>
    <definedName name="Number_of_Fills">'Main Data'!$D$96</definedName>
    <definedName name="Number_of_Intentional_Dumps">'Main Data'!$D$95</definedName>
    <definedName name="Number_of_Lost_Fills">'Main Data'!$D$94</definedName>
    <definedName name="_xlnm.Print_Area" localSheetId="3">'Faults Per Day'!$A$1:$AC$81</definedName>
    <definedName name="_xlnm.Print_Area" localSheetId="0">'Main Data'!$A$2:$P$62</definedName>
    <definedName name="_xlnm.Print_Titles" localSheetId="0">'Main Data'!$5:$5</definedName>
    <definedName name="Refill_Time">'Main Data'!$D$1</definedName>
    <definedName name="Total_Schedule_Run_Length">'Main Data'!$D$100</definedName>
    <definedName name="Total_System_Downtime">'Main Data'!$K$96</definedName>
    <definedName name="Total_User_Beam">'Main Data'!$D$98</definedName>
    <definedName name="Total_User_Downtime">'Main Data'!$D$99</definedName>
    <definedName name="User_Beam_Days">'Main Data'!$E$98</definedName>
    <definedName name="X_ray_Availability">'Main Data'!$D$105</definedName>
  </definedNames>
  <calcPr fullCalcOnLoad="1"/>
  <pivotCaches>
    <pivotCache cacheId="15" r:id="rId5"/>
    <pivotCache cacheId="12" r:id="rId6"/>
  </pivotCaches>
</workbook>
</file>

<file path=xl/sharedStrings.xml><?xml version="1.0" encoding="utf-8"?>
<sst xmlns="http://schemas.openxmlformats.org/spreadsheetml/2006/main" count="240" uniqueCount="94">
  <si>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</si>
  <si>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</si>
  <si>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</si>
  <si>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</si>
  <si>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</si>
  <si>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</si>
  <si>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</si>
  <si>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</si>
  <si>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</si>
  <si>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</si>
  <si>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</si>
  <si>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</si>
  <si>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</si>
  <si>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</si>
  <si>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</si>
  <si>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</si>
  <si>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</si>
  <si>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</si>
  <si>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</si>
  <si>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</si>
  <si>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</si>
  <si>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Scheduled</t>
  </si>
  <si>
    <t>PS</t>
  </si>
  <si>
    <t>RF</t>
  </si>
  <si>
    <t>MOM</t>
  </si>
  <si>
    <t>Number of Lost Fills</t>
  </si>
  <si>
    <t>Downtime</t>
  </si>
  <si>
    <t>Number of Intentional Dumps</t>
  </si>
  <si>
    <t>User</t>
  </si>
  <si>
    <t>Number of Fills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</si>
  <si>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</si>
  <si>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</si>
  <si>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</si>
  <si>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</si>
  <si>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</si>
  <si>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</si>
  <si>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</si>
  <si>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</si>
  <si>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</si>
  <si>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</si>
  <si>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</si>
  <si>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</si>
  <si>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</si>
  <si>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</si>
  <si>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</si>
  <si>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</si>
  <si>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Accelerator Intlks</t>
  </si>
  <si>
    <t>Beamline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</si>
  <si>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</si>
  <si>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</si>
  <si>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</si>
  <si>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</si>
  <si>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</si>
  <si>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</si>
  <si>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</si>
  <si>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</si>
  <si>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</si>
  <si>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</si>
  <si>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</si>
  <si>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</si>
  <si>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</si>
  <si>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</si>
  <si>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</si>
  <si>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</si>
  <si>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</si>
  <si>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AOP</t>
  </si>
  <si>
    <t>Inhibits Beam to User</t>
  </si>
  <si>
    <t>Int Dump: End of Period</t>
  </si>
  <si>
    <t>Sum of System 
Length</t>
  </si>
  <si>
    <t>SI</t>
  </si>
  <si>
    <t>UNK</t>
  </si>
  <si>
    <t>Downtime for Run 2019-1</t>
  </si>
  <si>
    <t>Run 2019-1</t>
  </si>
  <si>
    <t>S11 PSCU Fault [PS]</t>
  </si>
  <si>
    <t>RF4 crowbar [RF]</t>
  </si>
  <si>
    <t>Human Error [MOM]</t>
  </si>
  <si>
    <t>VAC</t>
  </si>
  <si>
    <t>RF2 crowbar [RF]</t>
  </si>
  <si>
    <t>S5B:V2 PS Glitch [PS]</t>
  </si>
  <si>
    <t>S19A:Q2 PS trip [PS]</t>
  </si>
  <si>
    <t>S27/28 Pump Switch [MOM]</t>
  </si>
  <si>
    <t>S19B:S3 PS failed [PS]</t>
  </si>
  <si>
    <t>SR Dipole glitch [PS]</t>
  </si>
  <si>
    <t>19ID PSS trip [SI]</t>
  </si>
  <si>
    <t>RF trip on SCR H2O [RF]</t>
  </si>
  <si>
    <t>Spurious Rad Mon Trip[HP]</t>
  </si>
  <si>
    <t>HP</t>
  </si>
  <si>
    <t>RF2 Crowbar [RF]</t>
  </si>
  <si>
    <t>Under Investigation [UNK]</t>
  </si>
  <si>
    <t>RF3 &amp; 5 VESDA trip [RF]</t>
  </si>
  <si>
    <t>RF-2 crowbar trip [RF]</t>
  </si>
  <si>
    <t>Trip &lt;1 hr Pump tripped off</t>
  </si>
  <si>
    <t>30ID BPLD</t>
  </si>
  <si>
    <t>30ID BPLD/ Water pump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</si>
</sst>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/yy\ h:mm;@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sz val="13.9"/>
      <color indexed="8"/>
      <name val="Arial"/>
      <family val="0"/>
    </font>
    <font>
      <sz val="23"/>
      <color indexed="8"/>
      <name val="Arial"/>
      <family val="0"/>
    </font>
    <font>
      <sz val="12.25"/>
      <color indexed="8"/>
      <name val="Arial"/>
      <family val="0"/>
    </font>
    <font>
      <sz val="12"/>
      <color indexed="8"/>
      <name val="Arial"/>
      <family val="0"/>
    </font>
    <font>
      <sz val="39.9"/>
      <color indexed="8"/>
      <name val="Arial"/>
      <family val="0"/>
    </font>
    <font>
      <sz val="8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.8"/>
      <color indexed="8"/>
      <name val="Arial"/>
      <family val="0"/>
    </font>
    <font>
      <b/>
      <sz val="17.1"/>
      <color indexed="8"/>
      <name val="Arial"/>
      <family val="0"/>
    </font>
    <font>
      <b/>
      <sz val="39.9"/>
      <color indexed="8"/>
      <name val="Arial"/>
      <family val="0"/>
    </font>
    <font>
      <b/>
      <sz val="44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 style="thin">
        <color rgb="FF999999"/>
      </bottom>
    </border>
    <border>
      <left>
        <color indexed="63"/>
      </left>
      <right>
        <color indexed="63"/>
      </right>
      <top>
        <color indexed="63"/>
      </top>
      <bottom style="thin">
        <color rgb="FF999999"/>
      </bottom>
    </border>
    <border>
      <left style="thin">
        <color rgb="FF999999"/>
      </left>
      <right style="thin">
        <color rgb="FF999999"/>
      </right>
      <top>
        <color indexed="63"/>
      </top>
      <bottom style="thin">
        <color rgb="FF99999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center" textRotation="90"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2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44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9" fontId="0" fillId="0" borderId="0" xfId="63" applyNumberFormat="1" applyFont="1" applyFill="1" applyBorder="1" applyAlignment="1" applyProtection="1">
      <alignment vertical="top" wrapText="1"/>
      <protection locked="0"/>
    </xf>
    <xf numFmtId="2" fontId="0" fillId="0" borderId="0" xfId="63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" fillId="0" borderId="0" xfId="0" applyNumberFormat="1" applyFont="1" applyFill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" fillId="0" borderId="21" xfId="0" applyNumberFormat="1" applyFont="1" applyFill="1" applyBorder="1" applyAlignment="1">
      <alignment horizontal="center" textRotation="90"/>
    </xf>
    <xf numFmtId="164" fontId="1" fillId="0" borderId="21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 textRotation="90"/>
    </xf>
    <xf numFmtId="0" fontId="1" fillId="0" borderId="2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/>
    </xf>
    <xf numFmtId="2" fontId="1" fillId="0" borderId="21" xfId="0" applyNumberFormat="1" applyFont="1" applyFill="1" applyBorder="1" applyAlignment="1">
      <alignment horizontal="center" textRotation="90" wrapText="1"/>
    </xf>
    <xf numFmtId="165" fontId="1" fillId="0" borderId="21" xfId="0" applyNumberFormat="1" applyFont="1" applyFill="1" applyBorder="1" applyAlignment="1">
      <alignment horizontal="center" textRotation="90" wrapText="1"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left"/>
    </xf>
    <xf numFmtId="2" fontId="0" fillId="34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ont="1" applyFill="1" applyBorder="1" applyAlignment="1">
      <alignment/>
    </xf>
    <xf numFmtId="10" fontId="0" fillId="0" borderId="0" xfId="63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Alignment="1" applyProtection="1">
      <alignment/>
      <protection locked="0"/>
    </xf>
    <xf numFmtId="0" fontId="0" fillId="0" borderId="26" xfId="0" applyNumberFormat="1" applyBorder="1" applyAlignment="1">
      <alignment/>
    </xf>
    <xf numFmtId="0" fontId="0" fillId="37" borderId="27" xfId="0" applyNumberFormat="1" applyFont="1" applyFill="1" applyBorder="1" applyAlignment="1">
      <alignment horizontal="right"/>
    </xf>
    <xf numFmtId="164" fontId="0" fillId="37" borderId="27" xfId="0" applyNumberFormat="1" applyFont="1" applyFill="1" applyBorder="1" applyAlignment="1">
      <alignment/>
    </xf>
    <xf numFmtId="2" fontId="0" fillId="38" borderId="27" xfId="0" applyNumberFormat="1" applyFont="1" applyFill="1" applyBorder="1" applyAlignment="1">
      <alignment horizontal="right"/>
    </xf>
    <xf numFmtId="0" fontId="0" fillId="37" borderId="27" xfId="0" applyNumberFormat="1" applyFont="1" applyFill="1" applyBorder="1" applyAlignment="1">
      <alignment horizontal="center"/>
    </xf>
    <xf numFmtId="164" fontId="0" fillId="37" borderId="27" xfId="0" applyNumberFormat="1" applyFont="1" applyFill="1" applyBorder="1" applyAlignment="1">
      <alignment horizontal="center"/>
    </xf>
    <xf numFmtId="0" fontId="0" fillId="37" borderId="27" xfId="0" applyNumberFormat="1" applyFont="1" applyFill="1" applyBorder="1" applyAlignment="1" applyProtection="1">
      <alignment/>
      <protection/>
    </xf>
    <xf numFmtId="0" fontId="0" fillId="37" borderId="27" xfId="0" applyNumberFormat="1" applyFont="1" applyFill="1" applyBorder="1" applyAlignment="1" applyProtection="1">
      <alignment/>
      <protection locked="0"/>
    </xf>
    <xf numFmtId="0" fontId="0" fillId="37" borderId="27" xfId="0" applyNumberFormat="1" applyFont="1" applyFill="1" applyBorder="1" applyAlignment="1" applyProtection="1">
      <alignment horizontal="left"/>
      <protection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NumberFormat="1" applyFont="1" applyFill="1" applyBorder="1" applyAlignment="1">
      <alignment/>
    </xf>
    <xf numFmtId="0" fontId="0" fillId="33" borderId="27" xfId="0" applyNumberFormat="1" applyFont="1" applyFill="1" applyBorder="1" applyAlignment="1">
      <alignment horizontal="right"/>
    </xf>
    <xf numFmtId="164" fontId="0" fillId="33" borderId="27" xfId="0" applyNumberFormat="1" applyFont="1" applyFill="1" applyBorder="1" applyAlignment="1">
      <alignment/>
    </xf>
    <xf numFmtId="2" fontId="0" fillId="35" borderId="27" xfId="0" applyNumberFormat="1" applyFont="1" applyFill="1" applyBorder="1" applyAlignment="1">
      <alignment horizontal="right"/>
    </xf>
    <xf numFmtId="0" fontId="0" fillId="33" borderId="27" xfId="0" applyNumberFormat="1" applyFont="1" applyFill="1" applyBorder="1" applyAlignment="1">
      <alignment horizontal="center"/>
    </xf>
    <xf numFmtId="164" fontId="0" fillId="33" borderId="27" xfId="0" applyNumberFormat="1" applyFont="1" applyFill="1" applyBorder="1" applyAlignment="1">
      <alignment horizontal="center"/>
    </xf>
    <xf numFmtId="0" fontId="0" fillId="33" borderId="27" xfId="0" applyNumberFormat="1" applyFont="1" applyFill="1" applyBorder="1" applyAlignment="1" applyProtection="1">
      <alignment/>
      <protection/>
    </xf>
    <xf numFmtId="0" fontId="0" fillId="33" borderId="27" xfId="0" applyNumberFormat="1" applyFont="1" applyFill="1" applyBorder="1" applyAlignment="1" applyProtection="1">
      <alignment/>
      <protection locked="0"/>
    </xf>
    <xf numFmtId="0" fontId="0" fillId="33" borderId="27" xfId="0" applyNumberFormat="1" applyFont="1" applyFill="1" applyBorder="1" applyAlignment="1" applyProtection="1">
      <alignment horizontal="left"/>
      <protection/>
    </xf>
    <xf numFmtId="0" fontId="0" fillId="40" borderId="24" xfId="0" applyNumberFormat="1" applyFont="1" applyFill="1" applyBorder="1" applyAlignment="1">
      <alignment horizontal="right"/>
    </xf>
    <xf numFmtId="164" fontId="0" fillId="40" borderId="28" xfId="0" applyNumberFormat="1" applyFont="1" applyFill="1" applyBorder="1" applyAlignment="1">
      <alignment horizontal="left"/>
    </xf>
    <xf numFmtId="2" fontId="0" fillId="41" borderId="24" xfId="0" applyNumberFormat="1" applyFont="1" applyFill="1" applyBorder="1" applyAlignment="1">
      <alignment horizontal="right"/>
    </xf>
    <xf numFmtId="164" fontId="0" fillId="40" borderId="24" xfId="0" applyNumberFormat="1" applyFont="1" applyFill="1" applyBorder="1" applyAlignment="1">
      <alignment/>
    </xf>
    <xf numFmtId="0" fontId="0" fillId="40" borderId="24" xfId="0" applyNumberFormat="1" applyFont="1" applyFill="1" applyBorder="1" applyAlignment="1">
      <alignment horizontal="center"/>
    </xf>
    <xf numFmtId="164" fontId="0" fillId="40" borderId="24" xfId="0" applyNumberFormat="1" applyFont="1" applyFill="1" applyBorder="1" applyAlignment="1">
      <alignment horizontal="center"/>
    </xf>
    <xf numFmtId="164" fontId="0" fillId="40" borderId="24" xfId="0" applyNumberFormat="1" applyFont="1" applyFill="1" applyBorder="1" applyAlignment="1">
      <alignment horizontal="left"/>
    </xf>
    <xf numFmtId="2" fontId="1" fillId="40" borderId="24" xfId="0" applyNumberFormat="1" applyFont="1" applyFill="1" applyBorder="1" applyAlignment="1">
      <alignment horizontal="right"/>
    </xf>
    <xf numFmtId="0" fontId="0" fillId="40" borderId="24" xfId="0" applyNumberFormat="1" applyFont="1" applyFill="1" applyBorder="1" applyAlignment="1" applyProtection="1">
      <alignment/>
      <protection/>
    </xf>
    <xf numFmtId="0" fontId="0" fillId="40" borderId="24" xfId="0" applyNumberFormat="1" applyFont="1" applyFill="1" applyBorder="1" applyAlignment="1" applyProtection="1">
      <alignment/>
      <protection locked="0"/>
    </xf>
    <xf numFmtId="0" fontId="0" fillId="40" borderId="2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>
      <alignment/>
    </xf>
    <xf numFmtId="2" fontId="0" fillId="42" borderId="27" xfId="0" applyNumberFormat="1" applyFont="1" applyFill="1" applyBorder="1" applyAlignment="1">
      <alignment horizontal="right"/>
    </xf>
    <xf numFmtId="0" fontId="0" fillId="0" borderId="29" xfId="0" applyNumberFormat="1" applyBorder="1" applyAlignment="1">
      <alignment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30" xfId="0" applyNumberFormat="1" applyBorder="1" applyAlignment="1">
      <alignment wrapText="1"/>
    </xf>
    <xf numFmtId="164" fontId="0" fillId="33" borderId="27" xfId="0" applyNumberFormat="1" applyFont="1" applyFill="1" applyBorder="1" applyAlignment="1">
      <alignment horizontal="left"/>
    </xf>
    <xf numFmtId="22" fontId="0" fillId="36" borderId="0" xfId="0" applyNumberFormat="1" applyFont="1" applyFill="1" applyBorder="1" applyAlignment="1">
      <alignment/>
    </xf>
    <xf numFmtId="22" fontId="0" fillId="36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2" fontId="0" fillId="36" borderId="27" xfId="0" applyNumberFormat="1" applyFont="1" applyFill="1" applyBorder="1" applyAlignment="1">
      <alignment/>
    </xf>
    <xf numFmtId="22" fontId="0" fillId="43" borderId="0" xfId="0" applyNumberFormat="1" applyFont="1" applyFill="1" applyBorder="1" applyAlignment="1">
      <alignment/>
    </xf>
    <xf numFmtId="22" fontId="0" fillId="43" borderId="27" xfId="0" applyNumberFormat="1" applyFont="1" applyFill="1" applyBorder="1" applyAlignment="1">
      <alignment/>
    </xf>
    <xf numFmtId="2" fontId="0" fillId="44" borderId="27" xfId="0" applyNumberFormat="1" applyFont="1" applyFill="1" applyBorder="1" applyAlignment="1">
      <alignment horizontal="right"/>
    </xf>
    <xf numFmtId="0" fontId="0" fillId="45" borderId="27" xfId="0" applyNumberFormat="1" applyFont="1" applyFill="1" applyBorder="1" applyAlignment="1" applyProtection="1">
      <alignment/>
      <protection/>
    </xf>
    <xf numFmtId="0" fontId="0" fillId="45" borderId="27" xfId="0" applyNumberFormat="1" applyFont="1" applyFill="1" applyBorder="1" applyAlignment="1" applyProtection="1">
      <alignment/>
      <protection locked="0"/>
    </xf>
    <xf numFmtId="0" fontId="0" fillId="45" borderId="27" xfId="0" applyNumberFormat="1" applyFont="1" applyFill="1" applyBorder="1" applyAlignment="1" applyProtection="1">
      <alignment horizontal="left"/>
      <protection/>
    </xf>
    <xf numFmtId="164" fontId="0" fillId="45" borderId="27" xfId="0" applyNumberFormat="1" applyFont="1" applyFill="1" applyBorder="1" applyAlignment="1">
      <alignment/>
    </xf>
    <xf numFmtId="22" fontId="0" fillId="46" borderId="27" xfId="0" applyNumberFormat="1" applyFont="1" applyFill="1" applyBorder="1" applyAlignment="1">
      <alignment/>
    </xf>
    <xf numFmtId="22" fontId="0" fillId="46" borderId="0" xfId="0" applyNumberFormat="1" applyFont="1" applyFill="1" applyBorder="1" applyAlignment="1">
      <alignment/>
    </xf>
    <xf numFmtId="2" fontId="0" fillId="47" borderId="27" xfId="0" applyNumberFormat="1" applyFont="1" applyFill="1" applyBorder="1" applyAlignment="1">
      <alignment horizontal="right"/>
    </xf>
    <xf numFmtId="0" fontId="0" fillId="48" borderId="27" xfId="0" applyNumberFormat="1" applyFont="1" applyFill="1" applyBorder="1" applyAlignment="1" applyProtection="1">
      <alignment/>
      <protection/>
    </xf>
    <xf numFmtId="0" fontId="0" fillId="48" borderId="27" xfId="0" applyNumberFormat="1" applyFont="1" applyFill="1" applyBorder="1" applyAlignment="1" applyProtection="1">
      <alignment/>
      <protection locked="0"/>
    </xf>
    <xf numFmtId="0" fontId="0" fillId="48" borderId="27" xfId="0" applyNumberFormat="1" applyFont="1" applyFill="1" applyBorder="1" applyAlignment="1" applyProtection="1">
      <alignment horizontal="left"/>
      <protection/>
    </xf>
    <xf numFmtId="164" fontId="0" fillId="48" borderId="27" xfId="0" applyNumberFormat="1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16" xfId="0" applyFont="1" applyBorder="1" applyAlignment="1" applyProtection="1">
      <alignment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numFmt numFmtId="2" formatCode="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2019-1 Downtime by System 
January 29 - April 22, 2019
 Scheduled User Time = 1719 hours     
User downtime = 28.03 hours</a:t>
            </a:r>
          </a:p>
        </c:rich>
      </c:tx>
      <c:layout>
        <c:manualLayout>
          <c:xMode val="factor"/>
          <c:yMode val="factor"/>
          <c:x val="-0.005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8825"/>
          <c:w val="0.87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Stats!$A$14</c:f>
              <c:strCache>
                <c:ptCount val="1"/>
                <c:pt idx="0">
                  <c:v>Run 2019-1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</c:v>
                </c:pt>
                <c:pt idx="9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Stats!$B$14:$S$14</c:f>
              <c:numCache>
                <c:ptCount val="18"/>
                <c:pt idx="0">
                  <c:v>0.006971107233059138</c:v>
                </c:pt>
                <c:pt idx="1">
                  <c:v>0</c:v>
                </c:pt>
                <c:pt idx="2">
                  <c:v>0.005119255381062748</c:v>
                </c:pt>
                <c:pt idx="3">
                  <c:v>0</c:v>
                </c:pt>
                <c:pt idx="4">
                  <c:v>0.00044599573388388414</c:v>
                </c:pt>
                <c:pt idx="5">
                  <c:v>0</c:v>
                </c:pt>
                <c:pt idx="6">
                  <c:v>0.0010277292999783863</c:v>
                </c:pt>
                <c:pt idx="7">
                  <c:v>0.001687027341491205</c:v>
                </c:pt>
                <c:pt idx="8">
                  <c:v>0.00023269342635653362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0.0002423889858219172</c:v>
                </c:pt>
              </c:numCache>
            </c:numRef>
          </c:val>
        </c:ser>
        <c:ser>
          <c:idx val="1"/>
          <c:order val="1"/>
          <c:tx>
            <c:strRef>
              <c:f>Stats!$A$15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</c:v>
                </c:pt>
                <c:pt idx="9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Stats!$B$15:$S$15</c:f>
              <c:numCache>
                <c:ptCount val="18"/>
                <c:pt idx="0">
                  <c:v>0.0054</c:v>
                </c:pt>
                <c:pt idx="1">
                  <c:v>0.0012000000000000001</c:v>
                </c:pt>
                <c:pt idx="2">
                  <c:v>0.0054</c:v>
                </c:pt>
                <c:pt idx="3">
                  <c:v>0.003</c:v>
                </c:pt>
                <c:pt idx="4">
                  <c:v>0.0028</c:v>
                </c:pt>
                <c:pt idx="5">
                  <c:v>0.0028</c:v>
                </c:pt>
                <c:pt idx="6">
                  <c:v>0.0028</c:v>
                </c:pt>
                <c:pt idx="7">
                  <c:v>0.0036000000000000003</c:v>
                </c:pt>
                <c:pt idx="8">
                  <c:v>0.0036000000000000003</c:v>
                </c:pt>
                <c:pt idx="9">
                  <c:v>0.0012000000000000001</c:v>
                </c:pt>
                <c:pt idx="10">
                  <c:v>0</c:v>
                </c:pt>
                <c:pt idx="11">
                  <c:v>0.0006000000000000001</c:v>
                </c:pt>
                <c:pt idx="12">
                  <c:v>0.0006000000000000001</c:v>
                </c:pt>
                <c:pt idx="13">
                  <c:v>0.0018000000000000002</c:v>
                </c:pt>
                <c:pt idx="14">
                  <c:v>0.0006000000000000001</c:v>
                </c:pt>
                <c:pt idx="15">
                  <c:v>0.0018000000000000002</c:v>
                </c:pt>
                <c:pt idx="16">
                  <c:v>0.0012000000000000001</c:v>
                </c:pt>
                <c:pt idx="17">
                  <c:v>0.0006000000000000001</c:v>
                </c:pt>
              </c:numCache>
            </c:numRef>
          </c:val>
        </c:ser>
        <c:axId val="25905605"/>
        <c:axId val="31823854"/>
      </c:barChart>
      <c:catAx>
        <c:axId val="2590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3854"/>
        <c:crosses val="autoZero"/>
        <c:auto val="1"/>
        <c:lblOffset val="100"/>
        <c:tickLblSkip val="1"/>
        <c:noMultiLvlLbl val="0"/>
      </c:catAx>
      <c:valAx>
        <c:axId val="31823854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8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05605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75"/>
          <c:y val="0.53475"/>
          <c:w val="0.20925"/>
          <c:h val="0.02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2019-1 Faults Per Day By System</a:t>
            </a:r>
          </a:p>
        </c:rich>
      </c:tx>
      <c:layout>
        <c:manualLayout>
          <c:xMode val="factor"/>
          <c:yMode val="factor"/>
          <c:x val="-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1425"/>
          <c:w val="0.937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Stats!$A$21</c:f>
              <c:strCache>
                <c:ptCount val="1"/>
                <c:pt idx="0">
                  <c:v>Run 2019-1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Stats!$B$20:$S$20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VAC</c:v>
                </c:pt>
                <c:pt idx="9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Stats!$B$21:$S$21</c:f>
              <c:numCache>
                <c:ptCount val="18"/>
                <c:pt idx="0">
                  <c:v>0.08515839066412265</c:v>
                </c:pt>
                <c:pt idx="1">
                  <c:v>0</c:v>
                </c:pt>
                <c:pt idx="2">
                  <c:v>0.08515839066412265</c:v>
                </c:pt>
                <c:pt idx="3">
                  <c:v>0</c:v>
                </c:pt>
                <c:pt idx="4">
                  <c:v>0.014193065110687108</c:v>
                </c:pt>
                <c:pt idx="5">
                  <c:v>0</c:v>
                </c:pt>
                <c:pt idx="6">
                  <c:v>0.028386130221374217</c:v>
                </c:pt>
                <c:pt idx="7">
                  <c:v>0.014193065110687108</c:v>
                </c:pt>
                <c:pt idx="8">
                  <c:v>0.014193065110687108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0.028386130221374217</c:v>
                </c:pt>
              </c:numCache>
            </c:numRef>
          </c:val>
        </c:ser>
        <c:ser>
          <c:idx val="1"/>
          <c:order val="1"/>
          <c:tx>
            <c:strRef>
              <c:f>Stats!$A$22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Stats!$B$20:$S$20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VAC</c:v>
                </c:pt>
                <c:pt idx="9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Stats!$B$22:$S$22</c:f>
              <c:numCache>
                <c:ptCount val="18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0.035</c:v>
                </c:pt>
                <c:pt idx="5">
                  <c:v>0.035</c:v>
                </c:pt>
                <c:pt idx="6">
                  <c:v>0.035</c:v>
                </c:pt>
                <c:pt idx="7">
                  <c:v>0.06</c:v>
                </c:pt>
                <c:pt idx="8">
                  <c:v>0.06</c:v>
                </c:pt>
                <c:pt idx="9">
                  <c:v>0.02</c:v>
                </c:pt>
                <c:pt idx="10">
                  <c:v>0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0.02</c:v>
                </c:pt>
                <c:pt idx="16">
                  <c:v>0.01</c:v>
                </c:pt>
                <c:pt idx="17">
                  <c:v>0.02</c:v>
                </c:pt>
              </c:numCache>
            </c:numRef>
          </c:val>
        </c:ser>
        <c:axId val="17979231"/>
        <c:axId val="27595352"/>
      </c:barChart>
      <c:catAx>
        <c:axId val="17979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95352"/>
        <c:crossesAt val="0"/>
        <c:auto val="1"/>
        <c:lblOffset val="100"/>
        <c:tickLblSkip val="1"/>
        <c:noMultiLvlLbl val="0"/>
      </c:catAx>
      <c:valAx>
        <c:axId val="27595352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79231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"/>
          <c:y val="0.97525"/>
          <c:w val="0.05675"/>
          <c:h val="0.02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94</xdr:row>
      <xdr:rowOff>76200</xdr:rowOff>
    </xdr:from>
    <xdr:to>
      <xdr:col>11</xdr:col>
      <xdr:colOff>85725</xdr:colOff>
      <xdr:row>95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267825" y="167259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85725</xdr:rowOff>
    </xdr:from>
    <xdr:to>
      <xdr:col>11</xdr:col>
      <xdr:colOff>85725</xdr:colOff>
      <xdr:row>53</xdr:row>
      <xdr:rowOff>104775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267825" y="9915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123825</xdr:colOff>
      <xdr:row>71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28</xdr:col>
      <xdr:colOff>276225</xdr:colOff>
      <xdr:row>79</xdr:row>
      <xdr:rowOff>28575</xdr:rowOff>
    </xdr:to>
    <xdr:graphicFrame>
      <xdr:nvGraphicFramePr>
        <xdr:cNvPr id="1" name="Chart 1"/>
        <xdr:cNvGraphicFramePr/>
      </xdr:nvGraphicFramePr>
      <xdr:xfrm>
        <a:off x="0" y="619125"/>
        <a:ext cx="17345025" cy="1220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Fy\reliabilitySumma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_2_"/>
      <sheetName val="Downtime chart"/>
      <sheetName val="Lost Stores FY chart"/>
      <sheetName val="summary"/>
    </sheetNames>
    <sheetDataSet>
      <sheetData sheetId="1">
        <row r="7">
          <cell r="B7">
            <v>0.0054</v>
          </cell>
          <cell r="F7">
            <v>0.12</v>
          </cell>
        </row>
        <row r="8">
          <cell r="B8">
            <v>0.0012000000000000001</v>
          </cell>
          <cell r="F8">
            <v>0.03</v>
          </cell>
        </row>
        <row r="9">
          <cell r="B9">
            <v>0.0054</v>
          </cell>
        </row>
        <row r="10">
          <cell r="B10">
            <v>0.003</v>
          </cell>
        </row>
        <row r="11">
          <cell r="B11">
            <v>0.0012000000000000001</v>
          </cell>
        </row>
        <row r="16">
          <cell r="B16">
            <v>0.0036000000000000003</v>
          </cell>
        </row>
        <row r="18">
          <cell r="B18">
            <v>0.0012000000000000001</v>
          </cell>
        </row>
        <row r="19">
          <cell r="B19">
            <v>0</v>
          </cell>
        </row>
        <row r="20">
          <cell r="B20">
            <v>0.0006000000000000001</v>
          </cell>
        </row>
        <row r="24">
          <cell r="B24">
            <v>0.0006000000000000001</v>
          </cell>
        </row>
        <row r="25">
          <cell r="B25">
            <v>0.0018000000000000002</v>
          </cell>
        </row>
        <row r="26">
          <cell r="B26">
            <v>0.0006000000000000001</v>
          </cell>
        </row>
        <row r="27">
          <cell r="B27">
            <v>0.0018000000000000002</v>
          </cell>
        </row>
        <row r="28">
          <cell r="B28">
            <v>0.0006000000000000001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T5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Blank="1" containsMixedTypes="0" count="7">
        <m/>
        <s v="PS"/>
        <s v="AOP"/>
        <s v="RF"/>
        <s v="FMS"/>
        <s v="UNK"/>
        <s v="OTH"/>
      </sharedItems>
    </cacheField>
    <cacheField name="System">
      <sharedItems containsMixedTypes="0"/>
    </cacheField>
    <cacheField name="Group">
      <sharedItems containsMixedTypes="0"/>
    </cacheField>
    <cacheField name="Type">
      <sharedItems containsBlank="1" containsMixedTypes="0" count="4">
        <m/>
        <s v="Inhibits Beam to User"/>
        <s v="Store Lost"/>
        <s v="Scheduled"/>
      </sharedItems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T51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MixedTypes="0"/>
    </cacheField>
    <cacheField name="System">
      <sharedItems containsMixedTypes="0"/>
    </cacheField>
    <cacheField name="Group">
      <sharedItems containsBlank="1" containsMixedTypes="0" count="15">
        <s v="PS"/>
        <s v="RF"/>
        <m/>
        <s v="VAC"/>
        <s v="MOM"/>
        <s v="SI"/>
        <s v="HP"/>
        <s v="UNK"/>
        <s v="OTH"/>
        <s v="CTL"/>
        <s v="ComEd"/>
        <s v="BL"/>
        <s v="DIA"/>
        <s v="UNL"/>
        <s v="AOP"/>
      </sharedItems>
    </cacheField>
    <cacheField name="Type">
      <sharedItems containsMixedTypes="0"/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2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F43" firstHeaderRow="1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7">
        <item h="1" x="0"/>
        <item x="1"/>
        <item x="3"/>
        <item x="2"/>
        <item m="1" x="5"/>
        <item m="1" x="4"/>
        <item m="1" x="6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3"/>
        <item x="0"/>
        <item x="2"/>
        <item x="1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4"/>
    <field x="-2"/>
  </rowFields>
  <rowItems count="6"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11"/>
  </colFields>
  <colItems count="4">
    <i>
      <x v="1"/>
    </i>
    <i>
      <x v="2"/>
    </i>
    <i>
      <x v="3"/>
    </i>
    <i t="grand">
      <x/>
    </i>
  </colItems>
  <dataFields count="2">
    <dataField name="Sum - Store Lost" fld="16" baseField="0" baseItem="0"/>
    <dataField name="Sum - Inhibits Beam" fld="18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5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6">
        <item h="1" x="2"/>
        <item x="0"/>
        <item x="1"/>
        <item m="1" x="12"/>
        <item x="4"/>
        <item m="1" x="11"/>
        <item m="1" x="14"/>
        <item x="5"/>
        <item m="1" x="10"/>
        <item m="1" x="9"/>
        <item x="7"/>
        <item m="1" x="13"/>
        <item m="1" x="8"/>
        <item x="3"/>
        <item x="6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13"/>
  </colFields>
  <colItems count="8">
    <i>
      <x v="1"/>
    </i>
    <i>
      <x v="2"/>
    </i>
    <i>
      <x v="4"/>
    </i>
    <i>
      <x v="7"/>
    </i>
    <i>
      <x v="10"/>
    </i>
    <i>
      <x v="13"/>
    </i>
    <i>
      <x v="14"/>
    </i>
    <i t="grand">
      <x/>
    </i>
  </colItems>
  <dataFields count="3">
    <dataField name="Sum - Inhibits Beam" fld="18" baseField="0" baseItem="0"/>
    <dataField name="Sum - Store Lost" fld="16" baseField="13" baseItem="0"/>
    <dataField name="Sum of System &#10;Length" fld="10" baseField="0" baseItem="0"/>
  </dataFields>
  <formats count="3">
    <format dxfId="0">
      <pivotArea outline="0" fieldPosition="0">
        <references count="2">
          <reference field="4294967294" count="1">
            <x v="2"/>
          </reference>
          <reference field="13" count="1">
            <x v="1"/>
          </reference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3" count="1">
            <x v="2"/>
          </reference>
        </references>
      </pivotArea>
    </format>
    <format dxfId="0">
      <pivotArea outline="0" fieldPosition="0" axis="axisCol" field="13" grandCol="1">
        <references count="1">
          <reference field="429496729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2"/>
  <sheetViews>
    <sheetView tabSelected="1" zoomScale="75" zoomScaleNormal="75" zoomScalePageLayoutView="0" workbookViewId="0" topLeftCell="A1">
      <pane ySplit="5" topLeftCell="A18" activePane="bottomLeft" state="frozen"/>
      <selection pane="topLeft" activeCell="A1" sqref="A1"/>
      <selection pane="bottomLeft" activeCell="N41" sqref="N41"/>
    </sheetView>
  </sheetViews>
  <sheetFormatPr defaultColWidth="9.00390625" defaultRowHeight="12.75"/>
  <cols>
    <col min="1" max="1" width="6.7109375" style="1" customWidth="1"/>
    <col min="2" max="2" width="15.7109375" style="2" customWidth="1"/>
    <col min="3" max="3" width="16.57421875" style="2" customWidth="1"/>
    <col min="4" max="4" width="9.28125" style="3" customWidth="1"/>
    <col min="5" max="5" width="27.140625" style="4" customWidth="1"/>
    <col min="6" max="6" width="9.28125" style="5" customWidth="1"/>
    <col min="7" max="7" width="3.28125" style="6" customWidth="1"/>
    <col min="8" max="8" width="15.8515625" style="7" customWidth="1"/>
    <col min="9" max="9" width="15.421875" style="7" customWidth="1"/>
    <col min="10" max="10" width="8.57421875" style="3" customWidth="1"/>
    <col min="11" max="11" width="11.140625" style="8" customWidth="1"/>
    <col min="12" max="12" width="11.28125" style="9" customWidth="1"/>
    <col min="13" max="13" width="13.140625" style="10" customWidth="1"/>
    <col min="14" max="14" width="11.28125" style="10" customWidth="1"/>
    <col min="15" max="15" width="21.57421875" style="9" customWidth="1"/>
    <col min="16" max="16" width="68.14062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6.25">
      <c r="A2" s="162" t="s">
        <v>71</v>
      </c>
      <c r="B2" s="162"/>
      <c r="C2" s="162"/>
      <c r="D2" s="162"/>
      <c r="E2" s="162"/>
      <c r="F2" s="162"/>
      <c r="G2" s="162"/>
      <c r="H2" s="162"/>
      <c r="I2" s="162"/>
      <c r="J2" s="25"/>
      <c r="K2" s="25"/>
      <c r="L2" s="26"/>
      <c r="M2" s="27"/>
      <c r="N2" s="27"/>
      <c r="O2" s="26"/>
      <c r="P2" s="23"/>
    </row>
    <row r="3" spans="1:20" s="30" customFormat="1" ht="12.75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0" s="30" customFormat="1" ht="20.25" customHeight="1">
      <c r="A4" s="28"/>
      <c r="B4" s="14"/>
      <c r="C4" s="14"/>
      <c r="D4" s="15"/>
      <c r="E4" s="16"/>
      <c r="F4" s="29"/>
      <c r="G4" s="18"/>
      <c r="H4" s="19"/>
      <c r="I4" s="19"/>
      <c r="J4" s="15"/>
      <c r="K4" s="20"/>
      <c r="L4" s="21"/>
      <c r="M4" s="22"/>
      <c r="N4" s="22"/>
      <c r="O4" s="21"/>
      <c r="P4" s="23"/>
      <c r="Q4" s="12"/>
      <c r="R4" s="12"/>
      <c r="S4" s="12"/>
      <c r="T4" s="12"/>
    </row>
    <row r="5" spans="1:20" s="30" customFormat="1" ht="66.75" customHeight="1">
      <c r="A5" s="97" t="s">
        <v>3</v>
      </c>
      <c r="B5" s="98" t="s">
        <v>4</v>
      </c>
      <c r="C5" s="98" t="s">
        <v>5</v>
      </c>
      <c r="D5" s="99" t="s">
        <v>6</v>
      </c>
      <c r="E5" s="100" t="s">
        <v>7</v>
      </c>
      <c r="F5" s="97" t="s">
        <v>8</v>
      </c>
      <c r="G5" s="101" t="s">
        <v>9</v>
      </c>
      <c r="H5" s="98" t="s">
        <v>4</v>
      </c>
      <c r="I5" s="98" t="s">
        <v>5</v>
      </c>
      <c r="J5" s="102" t="s">
        <v>10</v>
      </c>
      <c r="K5" s="103" t="s">
        <v>11</v>
      </c>
      <c r="L5" s="104" t="s">
        <v>12</v>
      </c>
      <c r="M5" s="105" t="s">
        <v>13</v>
      </c>
      <c r="N5" s="105" t="s">
        <v>14</v>
      </c>
      <c r="O5" s="104" t="s">
        <v>15</v>
      </c>
      <c r="P5" s="31" t="s">
        <v>16</v>
      </c>
      <c r="Q5" s="32" t="s">
        <v>17</v>
      </c>
      <c r="R5" s="32" t="s">
        <v>18</v>
      </c>
      <c r="S5" s="32" t="s">
        <v>19</v>
      </c>
      <c r="T5" s="33" t="s">
        <v>20</v>
      </c>
    </row>
    <row r="6" spans="1:23" s="133" customFormat="1" ht="12.75">
      <c r="A6" s="122">
        <v>1</v>
      </c>
      <c r="B6" s="123">
        <v>43494.333333333336</v>
      </c>
      <c r="C6" s="123">
        <v>43499.16388888889</v>
      </c>
      <c r="D6" s="124">
        <f>(C6-B6)*24</f>
        <v>115.93333333334886</v>
      </c>
      <c r="E6" s="123" t="s">
        <v>73</v>
      </c>
      <c r="F6" s="125">
        <v>106955</v>
      </c>
      <c r="G6" s="126"/>
      <c r="H6" s="123">
        <v>43499.16388888889</v>
      </c>
      <c r="I6" s="123">
        <v>43499.274305555555</v>
      </c>
      <c r="J6" s="154">
        <f>(I6-H6)*24</f>
        <v>2.6499999999068677</v>
      </c>
      <c r="K6" s="154">
        <f>SUM(I6-H6)*24</f>
        <v>2.6499999999068677</v>
      </c>
      <c r="L6" s="127" t="s">
        <v>22</v>
      </c>
      <c r="M6" s="128" t="s">
        <v>22</v>
      </c>
      <c r="N6" s="128" t="s">
        <v>22</v>
      </c>
      <c r="O6" s="129" t="s">
        <v>17</v>
      </c>
      <c r="P6" s="123"/>
      <c r="Q6" s="130">
        <f aca="true" t="shared" si="0" ref="Q6:Q50">IF($O6="Store Lost",1,"")</f>
        <v>1</v>
      </c>
      <c r="R6" s="130">
        <f aca="true" t="shared" si="1" ref="R6:R50">IF($O6="Scheduled",1,"")</f>
      </c>
      <c r="S6" s="130">
        <f aca="true" t="shared" si="2" ref="S6:S50">IF($O6="Inhibits beam to user",1,"")</f>
      </c>
      <c r="T6" s="131">
        <f aca="true" t="shared" si="3" ref="T6:T14">SUM(Q6:S6)</f>
        <v>1</v>
      </c>
      <c r="U6" s="132"/>
      <c r="V6" s="132"/>
      <c r="W6" s="132"/>
    </row>
    <row r="7" spans="1:23" s="133" customFormat="1" ht="12.75">
      <c r="A7" s="134">
        <v>2</v>
      </c>
      <c r="B7" s="135">
        <v>43499.274305555555</v>
      </c>
      <c r="C7" s="160">
        <v>43499.54861111111</v>
      </c>
      <c r="D7" s="136">
        <f>(C7-B7)*24</f>
        <v>6.583333333313931</v>
      </c>
      <c r="E7" s="135" t="s">
        <v>74</v>
      </c>
      <c r="F7" s="137">
        <v>109956</v>
      </c>
      <c r="G7" s="138"/>
      <c r="H7" s="160">
        <v>43499.54861111111</v>
      </c>
      <c r="I7" s="135">
        <v>43499.68402777778</v>
      </c>
      <c r="J7" s="136">
        <f>(I7-H7)*24</f>
        <v>3.2500000001164153</v>
      </c>
      <c r="K7" s="136">
        <f>(I7-H7)*24</f>
        <v>3.2500000001164153</v>
      </c>
      <c r="L7" s="139" t="s">
        <v>23</v>
      </c>
      <c r="M7" s="140" t="s">
        <v>23</v>
      </c>
      <c r="N7" s="140" t="s">
        <v>23</v>
      </c>
      <c r="O7" s="141" t="s">
        <v>17</v>
      </c>
      <c r="P7" s="135"/>
      <c r="Q7" s="130">
        <f t="shared" si="0"/>
        <v>1</v>
      </c>
      <c r="R7" s="130">
        <f t="shared" si="1"/>
      </c>
      <c r="S7" s="130">
        <f t="shared" si="2"/>
      </c>
      <c r="T7" s="131">
        <f t="shared" si="3"/>
        <v>1</v>
      </c>
      <c r="U7" s="132"/>
      <c r="V7" s="132"/>
      <c r="W7" s="132"/>
    </row>
    <row r="8" spans="1:23" s="118" customFormat="1" ht="15.75" customHeight="1">
      <c r="A8" s="122">
        <v>3</v>
      </c>
      <c r="B8" s="123">
        <v>43499.68402777778</v>
      </c>
      <c r="C8" s="123">
        <v>43500.333333333336</v>
      </c>
      <c r="D8" s="154">
        <f>(C8-B8)*24</f>
        <v>15.58333333331393</v>
      </c>
      <c r="E8" s="123" t="s">
        <v>67</v>
      </c>
      <c r="F8" s="125"/>
      <c r="G8" s="126"/>
      <c r="H8" s="123"/>
      <c r="I8" s="123"/>
      <c r="J8" s="154">
        <f>(I8-H8)*24</f>
        <v>0</v>
      </c>
      <c r="K8" s="154">
        <f>(I8-H8)*24</f>
        <v>0</v>
      </c>
      <c r="L8" s="127"/>
      <c r="M8" s="128"/>
      <c r="N8" s="128"/>
      <c r="O8" s="129" t="s">
        <v>21</v>
      </c>
      <c r="P8" s="123"/>
      <c r="Q8" s="130">
        <f t="shared" si="0"/>
      </c>
      <c r="R8" s="130">
        <f t="shared" si="1"/>
        <v>1</v>
      </c>
      <c r="S8" s="130">
        <f t="shared" si="2"/>
      </c>
      <c r="T8" s="131">
        <f t="shared" si="3"/>
        <v>1</v>
      </c>
      <c r="U8" s="117"/>
      <c r="V8" s="117"/>
      <c r="W8" s="117"/>
    </row>
    <row r="9" spans="1:23" s="153" customFormat="1" ht="12.75">
      <c r="A9" s="142"/>
      <c r="B9" s="143"/>
      <c r="C9" s="143"/>
      <c r="D9" s="144">
        <f>SUM(D6:D8)</f>
        <v>138.09999999997672</v>
      </c>
      <c r="E9" s="145"/>
      <c r="F9" s="146"/>
      <c r="G9" s="147"/>
      <c r="H9" s="148"/>
      <c r="I9" s="148"/>
      <c r="J9" s="149">
        <f>SUM(J6:J8)</f>
        <v>5.900000000023283</v>
      </c>
      <c r="K9" s="149">
        <f>SUM(K6:K8)</f>
        <v>5.900000000023283</v>
      </c>
      <c r="L9" s="150"/>
      <c r="M9" s="151"/>
      <c r="N9" s="151"/>
      <c r="O9" s="152"/>
      <c r="P9" s="145"/>
      <c r="Q9" s="130">
        <f t="shared" si="0"/>
      </c>
      <c r="R9" s="130">
        <f t="shared" si="1"/>
      </c>
      <c r="S9" s="130">
        <f t="shared" si="2"/>
      </c>
      <c r="T9" s="131">
        <f t="shared" si="3"/>
        <v>0</v>
      </c>
      <c r="U9" s="30"/>
      <c r="V9" s="30"/>
      <c r="W9" s="30"/>
    </row>
    <row r="10" spans="1:23" s="153" customFormat="1" ht="12.75">
      <c r="A10" s="134">
        <v>4</v>
      </c>
      <c r="B10" s="159">
        <v>43501.333333333336</v>
      </c>
      <c r="C10" s="159">
        <v>43501.614583333336</v>
      </c>
      <c r="D10" s="136">
        <f>(C10-B10)*24</f>
        <v>6.75</v>
      </c>
      <c r="E10" s="135" t="s">
        <v>75</v>
      </c>
      <c r="F10" s="137">
        <v>106958</v>
      </c>
      <c r="G10" s="138"/>
      <c r="H10" s="159">
        <v>43501.614583333336</v>
      </c>
      <c r="I10" s="159">
        <v>43501.63125</v>
      </c>
      <c r="J10" s="136">
        <f>(I10-H10)*24</f>
        <v>0.39999999990686774</v>
      </c>
      <c r="K10" s="136">
        <f>(I10-H10)*24</f>
        <v>0.39999999990686774</v>
      </c>
      <c r="L10" s="139" t="s">
        <v>76</v>
      </c>
      <c r="M10" s="140" t="s">
        <v>76</v>
      </c>
      <c r="N10" s="140" t="s">
        <v>76</v>
      </c>
      <c r="O10" s="141" t="s">
        <v>17</v>
      </c>
      <c r="P10" s="135"/>
      <c r="Q10" s="130">
        <f t="shared" si="0"/>
        <v>1</v>
      </c>
      <c r="R10" s="130">
        <f t="shared" si="1"/>
      </c>
      <c r="S10" s="130">
        <f t="shared" si="2"/>
      </c>
      <c r="T10" s="131">
        <f t="shared" si="3"/>
        <v>1</v>
      </c>
      <c r="U10" s="30"/>
      <c r="V10" s="30"/>
      <c r="W10" s="30"/>
    </row>
    <row r="11" spans="1:23" s="133" customFormat="1" ht="12.75">
      <c r="A11" s="122">
        <v>5</v>
      </c>
      <c r="B11" s="123">
        <v>43501.63125</v>
      </c>
      <c r="C11" s="123">
        <v>43501.720138888886</v>
      </c>
      <c r="D11" s="124">
        <f>(C11-B11)*24</f>
        <v>2.1333333333022892</v>
      </c>
      <c r="E11" s="123" t="s">
        <v>77</v>
      </c>
      <c r="F11" s="125">
        <v>106959</v>
      </c>
      <c r="G11" s="126"/>
      <c r="H11" s="123">
        <v>43501.720138888886</v>
      </c>
      <c r="I11" s="123">
        <v>43501.74097222222</v>
      </c>
      <c r="J11" s="154">
        <f>(I11-H11)*24</f>
        <v>0.5000000000582077</v>
      </c>
      <c r="K11" s="154">
        <f>SUM(I11-H11)*24</f>
        <v>0.5000000000582077</v>
      </c>
      <c r="L11" s="127" t="s">
        <v>23</v>
      </c>
      <c r="M11" s="128" t="s">
        <v>23</v>
      </c>
      <c r="N11" s="128" t="s">
        <v>23</v>
      </c>
      <c r="O11" s="129" t="s">
        <v>17</v>
      </c>
      <c r="P11" s="123"/>
      <c r="Q11" s="130">
        <f t="shared" si="0"/>
        <v>1</v>
      </c>
      <c r="R11" s="130">
        <f t="shared" si="1"/>
      </c>
      <c r="S11" s="130">
        <f t="shared" si="2"/>
      </c>
      <c r="T11" s="131">
        <f t="shared" si="3"/>
        <v>1</v>
      </c>
      <c r="U11" s="132"/>
      <c r="V11" s="132"/>
      <c r="W11" s="132"/>
    </row>
    <row r="12" spans="1:23" s="133" customFormat="1" ht="12.75">
      <c r="A12" s="134">
        <v>6</v>
      </c>
      <c r="B12" s="135">
        <v>43501.74097222222</v>
      </c>
      <c r="C12" s="160">
        <v>43504.114583333336</v>
      </c>
      <c r="D12" s="136">
        <f>(C12-B12)*24</f>
        <v>56.966666666732635</v>
      </c>
      <c r="E12" s="135" t="s">
        <v>78</v>
      </c>
      <c r="F12" s="137">
        <v>106960</v>
      </c>
      <c r="G12" s="138"/>
      <c r="H12" s="160">
        <v>43504.114583333336</v>
      </c>
      <c r="I12" s="160">
        <v>43504.12986111111</v>
      </c>
      <c r="J12" s="136">
        <f>(I12-H12)*24</f>
        <v>0.3666666666395031</v>
      </c>
      <c r="K12" s="136">
        <f>(I12-H12)*24</f>
        <v>0.3666666666395031</v>
      </c>
      <c r="L12" s="139" t="s">
        <v>22</v>
      </c>
      <c r="M12" s="140" t="s">
        <v>22</v>
      </c>
      <c r="N12" s="140" t="s">
        <v>22</v>
      </c>
      <c r="O12" s="141" t="s">
        <v>17</v>
      </c>
      <c r="P12" s="135"/>
      <c r="Q12" s="130">
        <f t="shared" si="0"/>
        <v>1</v>
      </c>
      <c r="R12" s="130">
        <f t="shared" si="1"/>
      </c>
      <c r="S12" s="130">
        <f t="shared" si="2"/>
      </c>
      <c r="T12" s="131">
        <f t="shared" si="3"/>
        <v>1</v>
      </c>
      <c r="U12" s="132"/>
      <c r="V12" s="132"/>
      <c r="W12" s="132"/>
    </row>
    <row r="13" spans="1:23" s="118" customFormat="1" ht="15.75" customHeight="1">
      <c r="A13" s="122">
        <v>7</v>
      </c>
      <c r="B13" s="123">
        <v>43504.12986111111</v>
      </c>
      <c r="C13" s="123">
        <v>43507.333333333336</v>
      </c>
      <c r="D13" s="154">
        <f>(C13-B13)*24</f>
        <v>76.8833333333605</v>
      </c>
      <c r="E13" s="123" t="s">
        <v>67</v>
      </c>
      <c r="F13" s="125"/>
      <c r="G13" s="126"/>
      <c r="H13" s="123"/>
      <c r="I13" s="123"/>
      <c r="J13" s="154">
        <f>(I13-H13)*24</f>
        <v>0</v>
      </c>
      <c r="K13" s="154">
        <f>(I13-H13)*24</f>
        <v>0</v>
      </c>
      <c r="L13" s="127"/>
      <c r="M13" s="128"/>
      <c r="N13" s="128"/>
      <c r="O13" s="129" t="s">
        <v>21</v>
      </c>
      <c r="P13" s="123"/>
      <c r="Q13" s="130">
        <f t="shared" si="0"/>
      </c>
      <c r="R13" s="130">
        <f t="shared" si="1"/>
        <v>1</v>
      </c>
      <c r="S13" s="130">
        <f t="shared" si="2"/>
      </c>
      <c r="T13" s="131">
        <f t="shared" si="3"/>
        <v>1</v>
      </c>
      <c r="U13" s="117"/>
      <c r="V13" s="117"/>
      <c r="W13" s="117"/>
    </row>
    <row r="14" spans="1:23" s="153" customFormat="1" ht="12.75">
      <c r="A14" s="142"/>
      <c r="B14" s="143"/>
      <c r="C14" s="143"/>
      <c r="D14" s="144">
        <f>SUM(D10:D13)</f>
        <v>142.73333333339542</v>
      </c>
      <c r="E14" s="145"/>
      <c r="F14" s="146"/>
      <c r="G14" s="147"/>
      <c r="H14" s="148"/>
      <c r="I14" s="148"/>
      <c r="J14" s="149">
        <f>SUM(J10:J13)</f>
        <v>1.2666666666045785</v>
      </c>
      <c r="K14" s="149">
        <f>SUM(K10:K13)</f>
        <v>1.2666666666045785</v>
      </c>
      <c r="L14" s="150"/>
      <c r="M14" s="151"/>
      <c r="N14" s="151"/>
      <c r="O14" s="152"/>
      <c r="P14" s="145"/>
      <c r="Q14" s="130">
        <f t="shared" si="0"/>
      </c>
      <c r="R14" s="130">
        <f t="shared" si="1"/>
      </c>
      <c r="S14" s="130">
        <f t="shared" si="2"/>
      </c>
      <c r="T14" s="131">
        <f t="shared" si="3"/>
        <v>0</v>
      </c>
      <c r="U14" s="30"/>
      <c r="V14" s="30"/>
      <c r="W14" s="30"/>
    </row>
    <row r="15" spans="1:23" s="153" customFormat="1" ht="12.75">
      <c r="A15" s="134">
        <v>8</v>
      </c>
      <c r="B15" s="159">
        <v>43508.333333333336</v>
      </c>
      <c r="C15" s="159">
        <v>43511.126388888886</v>
      </c>
      <c r="D15" s="136">
        <f>(C15-B15)*24</f>
        <v>67.03333333320916</v>
      </c>
      <c r="E15" s="135" t="s">
        <v>78</v>
      </c>
      <c r="F15" s="137">
        <v>106967</v>
      </c>
      <c r="G15" s="138"/>
      <c r="H15" s="159">
        <v>43511.126388888886</v>
      </c>
      <c r="I15" s="159">
        <v>43511.14513888889</v>
      </c>
      <c r="J15" s="136">
        <f>(I15-H15)*24</f>
        <v>0.4500000000698492</v>
      </c>
      <c r="K15" s="136">
        <f>(I15-H15)*24</f>
        <v>0.4500000000698492</v>
      </c>
      <c r="L15" s="139" t="s">
        <v>22</v>
      </c>
      <c r="M15" s="140" t="s">
        <v>22</v>
      </c>
      <c r="N15" s="140" t="s">
        <v>22</v>
      </c>
      <c r="O15" s="141" t="s">
        <v>17</v>
      </c>
      <c r="P15" s="135"/>
      <c r="Q15" s="130">
        <f t="shared" si="0"/>
        <v>1</v>
      </c>
      <c r="R15" s="130">
        <f t="shared" si="1"/>
      </c>
      <c r="S15" s="130">
        <f t="shared" si="2"/>
      </c>
      <c r="T15" s="131">
        <f aca="true" t="shared" si="4" ref="T15:T21">SUM(Q15:S15)</f>
        <v>1</v>
      </c>
      <c r="U15" s="30"/>
      <c r="V15" s="30"/>
      <c r="W15" s="30"/>
    </row>
    <row r="16" spans="1:23" s="133" customFormat="1" ht="12.75">
      <c r="A16" s="122">
        <v>9</v>
      </c>
      <c r="B16" s="123">
        <v>43511.14513888889</v>
      </c>
      <c r="C16" s="123">
        <v>43511.26666666667</v>
      </c>
      <c r="D16" s="124">
        <f>(C16-B16)*24</f>
        <v>2.916666666744277</v>
      </c>
      <c r="E16" s="123" t="s">
        <v>79</v>
      </c>
      <c r="F16" s="125">
        <v>106968</v>
      </c>
      <c r="G16" s="126"/>
      <c r="H16" s="123">
        <v>43511.26666666667</v>
      </c>
      <c r="I16" s="123">
        <v>43511.38263888889</v>
      </c>
      <c r="J16" s="154">
        <f>(I16-H16)*24</f>
        <v>2.7833333333255723</v>
      </c>
      <c r="K16" s="154">
        <f>SUM(I16-H16)*24</f>
        <v>2.7833333333255723</v>
      </c>
      <c r="L16" s="127" t="s">
        <v>22</v>
      </c>
      <c r="M16" s="128" t="s">
        <v>22</v>
      </c>
      <c r="N16" s="128" t="s">
        <v>22</v>
      </c>
      <c r="O16" s="129" t="s">
        <v>17</v>
      </c>
      <c r="P16" s="123"/>
      <c r="Q16" s="130">
        <f t="shared" si="0"/>
        <v>1</v>
      </c>
      <c r="R16" s="130">
        <f t="shared" si="1"/>
      </c>
      <c r="S16" s="130">
        <f t="shared" si="2"/>
      </c>
      <c r="T16" s="131">
        <f t="shared" si="4"/>
        <v>1</v>
      </c>
      <c r="U16" s="132"/>
      <c r="V16" s="132"/>
      <c r="W16" s="132"/>
    </row>
    <row r="17" spans="1:23" s="133" customFormat="1" ht="12.75">
      <c r="A17" s="134">
        <v>10</v>
      </c>
      <c r="B17" s="135">
        <v>43511.38263888889</v>
      </c>
      <c r="C17" s="160">
        <v>43513.34305555555</v>
      </c>
      <c r="D17" s="136">
        <f>(C17-B17)*24</f>
        <v>47.04999999987194</v>
      </c>
      <c r="E17" s="135" t="s">
        <v>80</v>
      </c>
      <c r="F17" s="137">
        <v>106969</v>
      </c>
      <c r="G17" s="138"/>
      <c r="H17" s="160">
        <v>43513.34305555555</v>
      </c>
      <c r="I17" s="160">
        <v>43513.396527777775</v>
      </c>
      <c r="J17" s="136">
        <f>(I17-H17)*24</f>
        <v>1.2833333333255723</v>
      </c>
      <c r="K17" s="136">
        <f>(I17-H17)*24</f>
        <v>1.2833333333255723</v>
      </c>
      <c r="L17" s="139" t="s">
        <v>24</v>
      </c>
      <c r="M17" s="140" t="s">
        <v>24</v>
      </c>
      <c r="N17" s="140" t="s">
        <v>24</v>
      </c>
      <c r="O17" s="141" t="s">
        <v>17</v>
      </c>
      <c r="P17" s="135"/>
      <c r="Q17" s="130">
        <f t="shared" si="0"/>
        <v>1</v>
      </c>
      <c r="R17" s="130">
        <f t="shared" si="1"/>
      </c>
      <c r="S17" s="130">
        <f t="shared" si="2"/>
      </c>
      <c r="T17" s="131">
        <f t="shared" si="4"/>
        <v>1</v>
      </c>
      <c r="U17" s="132"/>
      <c r="V17" s="132"/>
      <c r="W17" s="132"/>
    </row>
    <row r="18" spans="1:23" s="118" customFormat="1" ht="15.75" customHeight="1">
      <c r="A18" s="122">
        <v>11</v>
      </c>
      <c r="B18" s="123">
        <v>43513.396527777775</v>
      </c>
      <c r="C18" s="123">
        <v>43514.333333333336</v>
      </c>
      <c r="D18" s="154">
        <f>(C18-B18)*24</f>
        <v>22.48333333345363</v>
      </c>
      <c r="E18" s="123" t="s">
        <v>67</v>
      </c>
      <c r="F18" s="125"/>
      <c r="G18" s="126"/>
      <c r="H18" s="123"/>
      <c r="I18" s="123"/>
      <c r="J18" s="154">
        <f>(I18-H18)*24</f>
        <v>0</v>
      </c>
      <c r="K18" s="154">
        <f>(I18-H18)*24</f>
        <v>0</v>
      </c>
      <c r="L18" s="127"/>
      <c r="M18" s="128"/>
      <c r="N18" s="128"/>
      <c r="O18" s="129" t="s">
        <v>21</v>
      </c>
      <c r="P18" s="123"/>
      <c r="Q18" s="130">
        <f t="shared" si="0"/>
      </c>
      <c r="R18" s="130">
        <f t="shared" si="1"/>
        <v>1</v>
      </c>
      <c r="S18" s="130">
        <f t="shared" si="2"/>
      </c>
      <c r="T18" s="131">
        <f t="shared" si="4"/>
        <v>1</v>
      </c>
      <c r="U18" s="117"/>
      <c r="V18" s="117"/>
      <c r="W18" s="117"/>
    </row>
    <row r="19" spans="1:23" s="153" customFormat="1" ht="12.75">
      <c r="A19" s="142"/>
      <c r="B19" s="143"/>
      <c r="C19" s="143"/>
      <c r="D19" s="144">
        <f>SUM(D15:D18)</f>
        <v>139.483333333279</v>
      </c>
      <c r="E19" s="145"/>
      <c r="F19" s="146"/>
      <c r="G19" s="147"/>
      <c r="H19" s="148"/>
      <c r="I19" s="148"/>
      <c r="J19" s="149">
        <f>SUM(J15:J18)</f>
        <v>4.516666666720994</v>
      </c>
      <c r="K19" s="149">
        <f>SUM(K15:K18)</f>
        <v>4.516666666720994</v>
      </c>
      <c r="L19" s="150"/>
      <c r="M19" s="151"/>
      <c r="N19" s="151"/>
      <c r="O19" s="152"/>
      <c r="P19" s="145"/>
      <c r="Q19" s="130">
        <f t="shared" si="0"/>
      </c>
      <c r="R19" s="130">
        <f t="shared" si="1"/>
      </c>
      <c r="S19" s="130">
        <f t="shared" si="2"/>
      </c>
      <c r="T19" s="131">
        <f t="shared" si="4"/>
        <v>0</v>
      </c>
      <c r="U19" s="30"/>
      <c r="V19" s="30"/>
      <c r="W19" s="30"/>
    </row>
    <row r="20" spans="1:23" s="118" customFormat="1" ht="15.75" customHeight="1">
      <c r="A20" s="122">
        <v>12</v>
      </c>
      <c r="B20" s="123">
        <v>43515.333333333336</v>
      </c>
      <c r="C20" s="123">
        <v>43521.333333333336</v>
      </c>
      <c r="D20" s="154">
        <f>(C20-B20)*24</f>
        <v>144</v>
      </c>
      <c r="E20" s="123" t="s">
        <v>67</v>
      </c>
      <c r="F20" s="125"/>
      <c r="G20" s="126"/>
      <c r="H20" s="123"/>
      <c r="I20" s="123"/>
      <c r="J20" s="154">
        <f>(I20-H20)*24</f>
        <v>0</v>
      </c>
      <c r="K20" s="154">
        <f>(I20-H20)*24</f>
        <v>0</v>
      </c>
      <c r="L20" s="127"/>
      <c r="M20" s="128"/>
      <c r="N20" s="128"/>
      <c r="O20" s="129" t="s">
        <v>21</v>
      </c>
      <c r="P20" s="123"/>
      <c r="Q20" s="130">
        <f t="shared" si="0"/>
      </c>
      <c r="R20" s="130">
        <f t="shared" si="1"/>
        <v>1</v>
      </c>
      <c r="S20" s="130">
        <f t="shared" si="2"/>
      </c>
      <c r="T20" s="131">
        <f t="shared" si="4"/>
        <v>1</v>
      </c>
      <c r="U20" s="117"/>
      <c r="V20" s="117"/>
      <c r="W20" s="117"/>
    </row>
    <row r="21" spans="1:23" s="153" customFormat="1" ht="12.75">
      <c r="A21" s="142"/>
      <c r="B21" s="143"/>
      <c r="C21" s="143"/>
      <c r="D21" s="144">
        <f>SUM(D20:D20)</f>
        <v>144</v>
      </c>
      <c r="E21" s="145"/>
      <c r="F21" s="146"/>
      <c r="G21" s="147"/>
      <c r="H21" s="148"/>
      <c r="I21" s="148"/>
      <c r="J21" s="149">
        <f>SUM(J20:J20)</f>
        <v>0</v>
      </c>
      <c r="K21" s="149">
        <f>SUM(K20:K20)</f>
        <v>0</v>
      </c>
      <c r="L21" s="150"/>
      <c r="M21" s="151"/>
      <c r="N21" s="151"/>
      <c r="O21" s="152"/>
      <c r="P21" s="145"/>
      <c r="Q21" s="130">
        <f t="shared" si="0"/>
      </c>
      <c r="R21" s="130">
        <f t="shared" si="1"/>
      </c>
      <c r="S21" s="130">
        <f t="shared" si="2"/>
      </c>
      <c r="T21" s="131">
        <f t="shared" si="4"/>
        <v>0</v>
      </c>
      <c r="U21" s="30"/>
      <c r="V21" s="30"/>
      <c r="W21" s="30"/>
    </row>
    <row r="22" spans="1:23" s="133" customFormat="1" ht="12.75">
      <c r="A22" s="122">
        <v>13</v>
      </c>
      <c r="B22" s="123">
        <v>43522.333333333336</v>
      </c>
      <c r="C22" s="123">
        <v>43524.48472222222</v>
      </c>
      <c r="D22" s="124">
        <f>(C22-B22)*24</f>
        <v>51.63333333330229</v>
      </c>
      <c r="E22" s="123" t="s">
        <v>81</v>
      </c>
      <c r="F22" s="125">
        <v>106971</v>
      </c>
      <c r="G22" s="126"/>
      <c r="H22" s="123">
        <v>43524.48472222222</v>
      </c>
      <c r="I22" s="123">
        <v>43524.53402777778</v>
      </c>
      <c r="J22" s="154">
        <f>(I22-H22)*24</f>
        <v>1.1833333333488554</v>
      </c>
      <c r="K22" s="154">
        <f>SUM(I22-H22)*24</f>
        <v>1.1833333333488554</v>
      </c>
      <c r="L22" s="127" t="s">
        <v>22</v>
      </c>
      <c r="M22" s="128" t="s">
        <v>22</v>
      </c>
      <c r="N22" s="128" t="s">
        <v>22</v>
      </c>
      <c r="O22" s="129" t="s">
        <v>17</v>
      </c>
      <c r="P22" s="123"/>
      <c r="Q22" s="130">
        <f t="shared" si="0"/>
        <v>1</v>
      </c>
      <c r="R22" s="130">
        <f t="shared" si="1"/>
      </c>
      <c r="S22" s="130">
        <f t="shared" si="2"/>
      </c>
      <c r="T22" s="131">
        <f aca="true" t="shared" si="5" ref="T22:T27">SUM(Q22:S22)</f>
        <v>1</v>
      </c>
      <c r="U22" s="132"/>
      <c r="V22" s="132"/>
      <c r="W22" s="132"/>
    </row>
    <row r="23" spans="1:23" s="133" customFormat="1" ht="12.75">
      <c r="A23" s="134">
        <v>14</v>
      </c>
      <c r="B23" s="135">
        <v>43524.53402777778</v>
      </c>
      <c r="C23" s="160">
        <v>43526.55694444444</v>
      </c>
      <c r="D23" s="136">
        <f>(C23-B23)*24</f>
        <v>48.54999999987194</v>
      </c>
      <c r="E23" s="135" t="s">
        <v>87</v>
      </c>
      <c r="F23" s="137">
        <v>106974</v>
      </c>
      <c r="G23" s="138"/>
      <c r="H23" s="160">
        <v>43526.55694444444</v>
      </c>
      <c r="I23" s="160">
        <v>43526.57638888889</v>
      </c>
      <c r="J23" s="136">
        <f>(I23-H23)*24</f>
        <v>0.466666666790843</v>
      </c>
      <c r="K23" s="136">
        <f>(I23-H23)*24</f>
        <v>0.466666666790843</v>
      </c>
      <c r="L23" s="139" t="s">
        <v>23</v>
      </c>
      <c r="M23" s="140" t="s">
        <v>23</v>
      </c>
      <c r="N23" s="140" t="s">
        <v>23</v>
      </c>
      <c r="O23" s="141" t="s">
        <v>17</v>
      </c>
      <c r="P23" s="135"/>
      <c r="Q23" s="130">
        <f t="shared" si="0"/>
        <v>1</v>
      </c>
      <c r="R23" s="130">
        <f t="shared" si="1"/>
      </c>
      <c r="S23" s="130">
        <f t="shared" si="2"/>
      </c>
      <c r="T23" s="131">
        <f t="shared" si="5"/>
        <v>1</v>
      </c>
      <c r="U23" s="132"/>
      <c r="V23" s="132"/>
      <c r="W23" s="132"/>
    </row>
    <row r="24" spans="1:23" s="118" customFormat="1" ht="15.75" customHeight="1">
      <c r="A24" s="122">
        <v>15</v>
      </c>
      <c r="B24" s="123">
        <v>43526.57638888889</v>
      </c>
      <c r="C24" s="123">
        <v>43528.333333333336</v>
      </c>
      <c r="D24" s="154">
        <f>(C24-B24)*24</f>
        <v>42.16666666668607</v>
      </c>
      <c r="E24" s="123" t="s">
        <v>67</v>
      </c>
      <c r="F24" s="125"/>
      <c r="G24" s="126"/>
      <c r="H24" s="123"/>
      <c r="I24" s="123"/>
      <c r="J24" s="154">
        <f>(I24-H24)*24</f>
        <v>0</v>
      </c>
      <c r="K24" s="154">
        <f>(I24-H24)*24</f>
        <v>0</v>
      </c>
      <c r="L24" s="127"/>
      <c r="M24" s="128"/>
      <c r="N24" s="128"/>
      <c r="O24" s="129" t="s">
        <v>21</v>
      </c>
      <c r="P24" s="123"/>
      <c r="Q24" s="130">
        <f t="shared" si="0"/>
      </c>
      <c r="R24" s="130">
        <f t="shared" si="1"/>
        <v>1</v>
      </c>
      <c r="S24" s="130">
        <f t="shared" si="2"/>
      </c>
      <c r="T24" s="131">
        <f t="shared" si="5"/>
        <v>1</v>
      </c>
      <c r="U24" s="117"/>
      <c r="V24" s="117"/>
      <c r="W24" s="117"/>
    </row>
    <row r="25" spans="1:23" s="153" customFormat="1" ht="12.75">
      <c r="A25" s="142"/>
      <c r="B25" s="143"/>
      <c r="C25" s="143"/>
      <c r="D25" s="144">
        <f>SUM(D22:D24)</f>
        <v>142.3499999998603</v>
      </c>
      <c r="E25" s="145"/>
      <c r="F25" s="146"/>
      <c r="G25" s="147"/>
      <c r="H25" s="148"/>
      <c r="I25" s="148"/>
      <c r="J25" s="149">
        <f>SUM(J22:J24)</f>
        <v>1.6500000001396984</v>
      </c>
      <c r="K25" s="149">
        <f>SUM(K22:K24)</f>
        <v>1.6500000001396984</v>
      </c>
      <c r="L25" s="150"/>
      <c r="M25" s="151"/>
      <c r="N25" s="151"/>
      <c r="O25" s="152"/>
      <c r="P25" s="145"/>
      <c r="Q25" s="130">
        <f t="shared" si="0"/>
      </c>
      <c r="R25" s="130">
        <f t="shared" si="1"/>
      </c>
      <c r="S25" s="130">
        <f t="shared" si="2"/>
      </c>
      <c r="T25" s="131">
        <f t="shared" si="5"/>
        <v>0</v>
      </c>
      <c r="U25" s="30"/>
      <c r="V25" s="30"/>
      <c r="W25" s="30"/>
    </row>
    <row r="26" spans="1:23" s="118" customFormat="1" ht="15.75" customHeight="1">
      <c r="A26" s="122">
        <v>16</v>
      </c>
      <c r="B26" s="123">
        <v>43529.333333333336</v>
      </c>
      <c r="C26" s="123">
        <v>43535.333333333336</v>
      </c>
      <c r="D26" s="154">
        <f>(C26-B26)*24-1</f>
        <v>143</v>
      </c>
      <c r="E26" s="123" t="s">
        <v>67</v>
      </c>
      <c r="F26" s="125"/>
      <c r="G26" s="126"/>
      <c r="H26" s="123"/>
      <c r="I26" s="123"/>
      <c r="J26" s="154">
        <f>(I26-H26)*24</f>
        <v>0</v>
      </c>
      <c r="K26" s="154">
        <f>(I26-H26)*24</f>
        <v>0</v>
      </c>
      <c r="L26" s="127"/>
      <c r="M26" s="128"/>
      <c r="N26" s="128"/>
      <c r="O26" s="129" t="s">
        <v>21</v>
      </c>
      <c r="P26" s="123"/>
      <c r="Q26" s="130">
        <f t="shared" si="0"/>
      </c>
      <c r="R26" s="130">
        <f t="shared" si="1"/>
        <v>1</v>
      </c>
      <c r="S26" s="130">
        <f t="shared" si="2"/>
      </c>
      <c r="T26" s="131">
        <f t="shared" si="5"/>
        <v>1</v>
      </c>
      <c r="U26" s="117"/>
      <c r="V26" s="117"/>
      <c r="W26" s="117"/>
    </row>
    <row r="27" spans="1:23" s="153" customFormat="1" ht="12.75">
      <c r="A27" s="142"/>
      <c r="B27" s="143"/>
      <c r="C27" s="143"/>
      <c r="D27" s="144">
        <f>SUM(D26:D26)</f>
        <v>143</v>
      </c>
      <c r="E27" s="145"/>
      <c r="F27" s="146"/>
      <c r="G27" s="147"/>
      <c r="H27" s="148"/>
      <c r="I27" s="148"/>
      <c r="J27" s="149">
        <f>SUM(J26:J26)</f>
        <v>0</v>
      </c>
      <c r="K27" s="149">
        <f>SUM(K26:K26)</f>
        <v>0</v>
      </c>
      <c r="L27" s="150"/>
      <c r="M27" s="151"/>
      <c r="N27" s="151"/>
      <c r="O27" s="152"/>
      <c r="P27" s="145"/>
      <c r="Q27" s="130">
        <f t="shared" si="0"/>
      </c>
      <c r="R27" s="130">
        <f t="shared" si="1"/>
      </c>
      <c r="S27" s="130">
        <f t="shared" si="2"/>
      </c>
      <c r="T27" s="131">
        <f t="shared" si="5"/>
        <v>0</v>
      </c>
      <c r="U27" s="30"/>
      <c r="V27" s="30"/>
      <c r="W27" s="30"/>
    </row>
    <row r="28" spans="1:23" s="118" customFormat="1" ht="15.75" customHeight="1">
      <c r="A28" s="122">
        <v>17</v>
      </c>
      <c r="B28" s="123">
        <v>43537.333333333336</v>
      </c>
      <c r="C28" s="123">
        <v>43542.333333333336</v>
      </c>
      <c r="D28" s="154">
        <f>(C28-B28)*24</f>
        <v>120</v>
      </c>
      <c r="E28" s="123" t="s">
        <v>67</v>
      </c>
      <c r="F28" s="125"/>
      <c r="G28" s="126"/>
      <c r="H28" s="123"/>
      <c r="I28" s="123"/>
      <c r="J28" s="154">
        <f>(I28-H28)*24</f>
        <v>0</v>
      </c>
      <c r="K28" s="154">
        <f>(I28-H28)*24</f>
        <v>0</v>
      </c>
      <c r="L28" s="127"/>
      <c r="M28" s="128"/>
      <c r="N28" s="128"/>
      <c r="O28" s="129" t="s">
        <v>21</v>
      </c>
      <c r="P28" s="123"/>
      <c r="Q28" s="130">
        <f t="shared" si="0"/>
      </c>
      <c r="R28" s="130">
        <f t="shared" si="1"/>
        <v>1</v>
      </c>
      <c r="S28" s="130">
        <f t="shared" si="2"/>
      </c>
      <c r="T28" s="131">
        <f aca="true" t="shared" si="6" ref="T28:T34">SUM(Q28:S28)</f>
        <v>1</v>
      </c>
      <c r="U28" s="117"/>
      <c r="V28" s="117"/>
      <c r="W28" s="117"/>
    </row>
    <row r="29" spans="1:23" s="153" customFormat="1" ht="12.75">
      <c r="A29" s="142"/>
      <c r="B29" s="143"/>
      <c r="C29" s="143"/>
      <c r="D29" s="144">
        <f>SUM(D28:D28)</f>
        <v>120</v>
      </c>
      <c r="E29" s="145"/>
      <c r="F29" s="146"/>
      <c r="G29" s="147"/>
      <c r="H29" s="148"/>
      <c r="I29" s="148"/>
      <c r="J29" s="149">
        <f>SUM(J28:J28)</f>
        <v>0</v>
      </c>
      <c r="K29" s="149">
        <f>SUM(K28:K28)</f>
        <v>0</v>
      </c>
      <c r="L29" s="150"/>
      <c r="M29" s="151"/>
      <c r="N29" s="151"/>
      <c r="O29" s="152"/>
      <c r="P29" s="145"/>
      <c r="Q29" s="130">
        <f t="shared" si="0"/>
      </c>
      <c r="R29" s="130">
        <f t="shared" si="1"/>
      </c>
      <c r="S29" s="130">
        <f t="shared" si="2"/>
      </c>
      <c r="T29" s="131">
        <f t="shared" si="6"/>
        <v>0</v>
      </c>
      <c r="U29" s="30"/>
      <c r="V29" s="30"/>
      <c r="W29" s="30"/>
    </row>
    <row r="30" spans="1:23" s="153" customFormat="1" ht="12.75">
      <c r="A30" s="134">
        <v>18</v>
      </c>
      <c r="B30" s="159">
        <v>43543.333333333336</v>
      </c>
      <c r="C30" s="159">
        <v>43546.34583333333</v>
      </c>
      <c r="D30" s="136">
        <f>(C30-B30)*24</f>
        <v>72.29999999993015</v>
      </c>
      <c r="E30" s="135" t="s">
        <v>82</v>
      </c>
      <c r="F30" s="137">
        <v>106988</v>
      </c>
      <c r="G30" s="138"/>
      <c r="H30" s="159">
        <v>43546.34583333333</v>
      </c>
      <c r="I30" s="159">
        <v>43546.40277777778</v>
      </c>
      <c r="J30" s="136">
        <f>(I30-H30)*24</f>
        <v>1.3666666667559184</v>
      </c>
      <c r="K30" s="136">
        <f>(I30-H30)*24</f>
        <v>1.3666666667559184</v>
      </c>
      <c r="L30" s="139" t="s">
        <v>22</v>
      </c>
      <c r="M30" s="140" t="s">
        <v>22</v>
      </c>
      <c r="N30" s="140" t="s">
        <v>22</v>
      </c>
      <c r="O30" s="141" t="s">
        <v>17</v>
      </c>
      <c r="P30" s="135"/>
      <c r="Q30" s="130">
        <f t="shared" si="0"/>
        <v>1</v>
      </c>
      <c r="R30" s="130">
        <f t="shared" si="1"/>
      </c>
      <c r="S30" s="130">
        <f t="shared" si="2"/>
      </c>
      <c r="T30" s="131">
        <f t="shared" si="6"/>
        <v>1</v>
      </c>
      <c r="U30" s="30"/>
      <c r="V30" s="30"/>
      <c r="W30" s="30"/>
    </row>
    <row r="31" spans="1:23" s="133" customFormat="1" ht="12.75">
      <c r="A31" s="122">
        <v>19</v>
      </c>
      <c r="B31" s="123">
        <v>43546.40277777778</v>
      </c>
      <c r="C31" s="123">
        <v>43547.23541666667</v>
      </c>
      <c r="D31" s="124">
        <f>(C31-B31)*24</f>
        <v>19.983333333337214</v>
      </c>
      <c r="E31" s="123" t="s">
        <v>83</v>
      </c>
      <c r="F31" s="125">
        <v>106990</v>
      </c>
      <c r="G31" s="126"/>
      <c r="H31" s="123">
        <v>43547.23541666667</v>
      </c>
      <c r="I31" s="123">
        <v>43547.26736111111</v>
      </c>
      <c r="J31" s="154">
        <f>(I31-H31)*24</f>
        <v>0.7666666665463708</v>
      </c>
      <c r="K31" s="154">
        <f>SUM(I31-H31)*24</f>
        <v>0.7666666665463708</v>
      </c>
      <c r="L31" s="127" t="s">
        <v>69</v>
      </c>
      <c r="M31" s="128" t="s">
        <v>69</v>
      </c>
      <c r="N31" s="128" t="s">
        <v>69</v>
      </c>
      <c r="O31" s="129" t="s">
        <v>17</v>
      </c>
      <c r="P31" s="123"/>
      <c r="Q31" s="130">
        <f t="shared" si="0"/>
        <v>1</v>
      </c>
      <c r="R31" s="130">
        <f t="shared" si="1"/>
      </c>
      <c r="S31" s="130">
        <f t="shared" si="2"/>
      </c>
      <c r="T31" s="131">
        <f t="shared" si="6"/>
        <v>1</v>
      </c>
      <c r="U31" s="132"/>
      <c r="V31" s="132"/>
      <c r="W31" s="132"/>
    </row>
    <row r="32" spans="1:23" s="133" customFormat="1" ht="12.75">
      <c r="A32" s="134">
        <v>20</v>
      </c>
      <c r="B32" s="135">
        <v>43547.26736111111</v>
      </c>
      <c r="C32" s="160">
        <v>43547.91736111111</v>
      </c>
      <c r="D32" s="136">
        <f>(C32-B32)*24</f>
        <v>15.600000000034925</v>
      </c>
      <c r="E32" s="135" t="s">
        <v>84</v>
      </c>
      <c r="F32" s="137">
        <v>106992</v>
      </c>
      <c r="G32" s="138"/>
      <c r="H32" s="161">
        <v>43547.91736111111</v>
      </c>
      <c r="I32" s="160">
        <v>43547.9375</v>
      </c>
      <c r="J32" s="136">
        <f>(I32-H32)*24</f>
        <v>0.48333333333721384</v>
      </c>
      <c r="K32" s="136">
        <f>(I32-H32)*24</f>
        <v>0.48333333333721384</v>
      </c>
      <c r="L32" s="139" t="s">
        <v>23</v>
      </c>
      <c r="M32" s="140" t="s">
        <v>23</v>
      </c>
      <c r="N32" s="140" t="s">
        <v>23</v>
      </c>
      <c r="O32" s="141" t="s">
        <v>17</v>
      </c>
      <c r="P32" s="135"/>
      <c r="Q32" s="130">
        <f t="shared" si="0"/>
        <v>1</v>
      </c>
      <c r="R32" s="130">
        <f t="shared" si="1"/>
      </c>
      <c r="S32" s="130">
        <f t="shared" si="2"/>
      </c>
      <c r="T32" s="131">
        <f t="shared" si="6"/>
        <v>1</v>
      </c>
      <c r="U32" s="132"/>
      <c r="V32" s="132"/>
      <c r="W32" s="132"/>
    </row>
    <row r="33" spans="1:23" s="118" customFormat="1" ht="15.75" customHeight="1">
      <c r="A33" s="122">
        <v>21</v>
      </c>
      <c r="B33" s="123">
        <v>43547.9375</v>
      </c>
      <c r="C33" s="123">
        <v>43549.333333333336</v>
      </c>
      <c r="D33" s="154">
        <f>(C33-B33)*24</f>
        <v>33.50000000005821</v>
      </c>
      <c r="E33" s="123" t="s">
        <v>67</v>
      </c>
      <c r="F33" s="125"/>
      <c r="G33" s="126"/>
      <c r="H33" s="123"/>
      <c r="I33" s="123"/>
      <c r="J33" s="154">
        <f>(I33-H33)*24</f>
        <v>0</v>
      </c>
      <c r="K33" s="154">
        <f>(I33-H33)*24</f>
        <v>0</v>
      </c>
      <c r="L33" s="127"/>
      <c r="M33" s="128"/>
      <c r="N33" s="128"/>
      <c r="O33" s="129" t="s">
        <v>21</v>
      </c>
      <c r="P33" s="123"/>
      <c r="Q33" s="130">
        <f t="shared" si="0"/>
      </c>
      <c r="R33" s="130">
        <f t="shared" si="1"/>
        <v>1</v>
      </c>
      <c r="S33" s="130">
        <f t="shared" si="2"/>
      </c>
      <c r="T33" s="131">
        <f t="shared" si="6"/>
        <v>1</v>
      </c>
      <c r="U33" s="117"/>
      <c r="V33" s="117"/>
      <c r="W33" s="117"/>
    </row>
    <row r="34" spans="1:23" s="153" customFormat="1" ht="12.75">
      <c r="A34" s="142"/>
      <c r="B34" s="143"/>
      <c r="C34" s="143"/>
      <c r="D34" s="144">
        <f>SUM(D30:D33)</f>
        <v>141.3833333333605</v>
      </c>
      <c r="E34" s="145"/>
      <c r="F34" s="146"/>
      <c r="G34" s="147"/>
      <c r="H34" s="148"/>
      <c r="I34" s="148"/>
      <c r="J34" s="149">
        <f>SUM(J30:J33)</f>
        <v>2.616666666639503</v>
      </c>
      <c r="K34" s="149">
        <f>SUM(K30:K33)</f>
        <v>2.616666666639503</v>
      </c>
      <c r="L34" s="150"/>
      <c r="M34" s="151"/>
      <c r="N34" s="151"/>
      <c r="O34" s="152"/>
      <c r="P34" s="145"/>
      <c r="Q34" s="130">
        <f t="shared" si="0"/>
      </c>
      <c r="R34" s="130">
        <f t="shared" si="1"/>
      </c>
      <c r="S34" s="130">
        <f t="shared" si="2"/>
      </c>
      <c r="T34" s="131">
        <f t="shared" si="6"/>
        <v>0</v>
      </c>
      <c r="U34" s="30"/>
      <c r="V34" s="30"/>
      <c r="W34" s="30"/>
    </row>
    <row r="35" spans="1:23" s="133" customFormat="1" ht="12.75">
      <c r="A35" s="122">
        <v>22</v>
      </c>
      <c r="B35" s="123">
        <v>43550.333333333336</v>
      </c>
      <c r="C35" s="123">
        <v>43550.62847222222</v>
      </c>
      <c r="D35" s="124">
        <f>(C35-B35)*24</f>
        <v>7.0833333331975155</v>
      </c>
      <c r="E35" s="123" t="s">
        <v>85</v>
      </c>
      <c r="F35" s="125">
        <v>106993</v>
      </c>
      <c r="G35" s="126"/>
      <c r="H35" s="123">
        <v>43550.62847222222</v>
      </c>
      <c r="I35" s="123">
        <v>43550.65833333333</v>
      </c>
      <c r="J35" s="154">
        <f>(I35-H35)*24</f>
        <v>0.7166666667326353</v>
      </c>
      <c r="K35" s="154">
        <f>SUM(I35-H35)*24</f>
        <v>0.7166666667326353</v>
      </c>
      <c r="L35" s="127" t="s">
        <v>86</v>
      </c>
      <c r="M35" s="128" t="s">
        <v>86</v>
      </c>
      <c r="N35" s="128" t="s">
        <v>86</v>
      </c>
      <c r="O35" s="129" t="s">
        <v>17</v>
      </c>
      <c r="P35" s="123"/>
      <c r="Q35" s="130">
        <f t="shared" si="0"/>
        <v>1</v>
      </c>
      <c r="R35" s="130">
        <f t="shared" si="1"/>
      </c>
      <c r="S35" s="130">
        <f t="shared" si="2"/>
      </c>
      <c r="T35" s="131">
        <f aca="true" t="shared" si="7" ref="T35:T42">SUM(Q35:S35)</f>
        <v>1</v>
      </c>
      <c r="U35" s="132"/>
      <c r="V35" s="132"/>
      <c r="W35" s="132"/>
    </row>
    <row r="36" spans="1:23" s="133" customFormat="1" ht="12.75">
      <c r="A36" s="134">
        <v>23</v>
      </c>
      <c r="B36" s="135">
        <v>43550.65833333333</v>
      </c>
      <c r="C36" s="160">
        <v>43550.77222222222</v>
      </c>
      <c r="D36" s="136">
        <f>(C36-B36)*24</f>
        <v>2.733333333337214</v>
      </c>
      <c r="E36" s="135" t="s">
        <v>85</v>
      </c>
      <c r="F36" s="137">
        <v>106995</v>
      </c>
      <c r="G36" s="138"/>
      <c r="H36" s="160">
        <v>43550.77222222222</v>
      </c>
      <c r="I36" s="160">
        <v>43550.81597222222</v>
      </c>
      <c r="J36" s="136">
        <f>(I36-H36)*24</f>
        <v>1.0499999999301508</v>
      </c>
      <c r="K36" s="136">
        <f>(I36-H36)*24</f>
        <v>1.0499999999301508</v>
      </c>
      <c r="L36" s="139" t="s">
        <v>86</v>
      </c>
      <c r="M36" s="140" t="s">
        <v>86</v>
      </c>
      <c r="N36" s="140" t="s">
        <v>86</v>
      </c>
      <c r="O36" s="141" t="s">
        <v>17</v>
      </c>
      <c r="P36" s="135"/>
      <c r="Q36" s="130">
        <f t="shared" si="0"/>
        <v>1</v>
      </c>
      <c r="R36" s="130">
        <f t="shared" si="1"/>
      </c>
      <c r="S36" s="130">
        <f t="shared" si="2"/>
      </c>
      <c r="T36" s="131">
        <f t="shared" si="7"/>
        <v>1</v>
      </c>
      <c r="U36" s="132"/>
      <c r="V36" s="132"/>
      <c r="W36" s="132"/>
    </row>
    <row r="37" spans="1:23" s="118" customFormat="1" ht="15.75" customHeight="1">
      <c r="A37" s="122">
        <v>24</v>
      </c>
      <c r="B37" s="123">
        <v>43550.81597222222</v>
      </c>
      <c r="C37" s="123">
        <v>43556.333333333336</v>
      </c>
      <c r="D37" s="154">
        <f>(C37-B37)*24</f>
        <v>132.41666666680248</v>
      </c>
      <c r="E37" s="123" t="s">
        <v>67</v>
      </c>
      <c r="F37" s="125"/>
      <c r="G37" s="126"/>
      <c r="H37" s="123"/>
      <c r="I37" s="123"/>
      <c r="J37" s="154">
        <f>(I37-H37)*24</f>
        <v>0</v>
      </c>
      <c r="K37" s="154">
        <f>(I37-H37)*24</f>
        <v>0</v>
      </c>
      <c r="L37" s="127"/>
      <c r="M37" s="128"/>
      <c r="N37" s="128"/>
      <c r="O37" s="129" t="s">
        <v>21</v>
      </c>
      <c r="P37" s="123"/>
      <c r="Q37" s="130">
        <f t="shared" si="0"/>
      </c>
      <c r="R37" s="130">
        <f t="shared" si="1"/>
        <v>1</v>
      </c>
      <c r="S37" s="130">
        <f t="shared" si="2"/>
      </c>
      <c r="T37" s="131">
        <f t="shared" si="7"/>
        <v>1</v>
      </c>
      <c r="U37" s="117"/>
      <c r="V37" s="117"/>
      <c r="W37" s="117"/>
    </row>
    <row r="38" spans="1:23" s="153" customFormat="1" ht="12.75">
      <c r="A38" s="142"/>
      <c r="B38" s="143"/>
      <c r="C38" s="143"/>
      <c r="D38" s="144">
        <f>SUM(D35:D37)</f>
        <v>142.2333333333372</v>
      </c>
      <c r="E38" s="145"/>
      <c r="F38" s="146"/>
      <c r="G38" s="147"/>
      <c r="H38" s="148"/>
      <c r="I38" s="148"/>
      <c r="J38" s="149">
        <f>SUM(J35:J37)</f>
        <v>1.7666666666627862</v>
      </c>
      <c r="K38" s="149">
        <f>SUM(K35:K37)</f>
        <v>1.7666666666627862</v>
      </c>
      <c r="L38" s="150"/>
      <c r="M38" s="151"/>
      <c r="N38" s="151"/>
      <c r="O38" s="152"/>
      <c r="P38" s="145"/>
      <c r="Q38" s="130">
        <f t="shared" si="0"/>
      </c>
      <c r="R38" s="130">
        <f t="shared" si="1"/>
      </c>
      <c r="S38" s="130">
        <f t="shared" si="2"/>
      </c>
      <c r="T38" s="131">
        <f t="shared" si="7"/>
        <v>0</v>
      </c>
      <c r="U38" s="30"/>
      <c r="V38" s="30"/>
      <c r="W38" s="30"/>
    </row>
    <row r="39" spans="1:23" s="133" customFormat="1" ht="12.75">
      <c r="A39" s="122">
        <v>25</v>
      </c>
      <c r="B39" s="123">
        <v>43557.333333333336</v>
      </c>
      <c r="C39" s="123">
        <v>43562.05</v>
      </c>
      <c r="D39" s="124">
        <f>(C39-B39)*24</f>
        <v>113.20000000001164</v>
      </c>
      <c r="E39" s="123" t="s">
        <v>88</v>
      </c>
      <c r="F39" s="125">
        <v>107001</v>
      </c>
      <c r="G39" s="126"/>
      <c r="H39" s="123">
        <v>43562.05</v>
      </c>
      <c r="I39" s="123">
        <v>43562.07638888889</v>
      </c>
      <c r="J39" s="154">
        <f>(I39-H39)*24</f>
        <v>0.6333333333022892</v>
      </c>
      <c r="K39" s="154">
        <f>SUM(I39-H39)*24</f>
        <v>0.6333333333022892</v>
      </c>
      <c r="L39" s="127" t="s">
        <v>70</v>
      </c>
      <c r="M39" s="128" t="s">
        <v>70</v>
      </c>
      <c r="N39" s="128" t="s">
        <v>70</v>
      </c>
      <c r="O39" s="129" t="s">
        <v>17</v>
      </c>
      <c r="P39" s="123"/>
      <c r="Q39" s="130">
        <f t="shared" si="0"/>
        <v>1</v>
      </c>
      <c r="R39" s="130">
        <f t="shared" si="1"/>
      </c>
      <c r="S39" s="130">
        <f t="shared" si="2"/>
      </c>
      <c r="T39" s="131">
        <f t="shared" si="7"/>
        <v>1</v>
      </c>
      <c r="U39" s="132"/>
      <c r="V39" s="132"/>
      <c r="W39" s="132"/>
    </row>
    <row r="40" spans="1:23" s="133" customFormat="1" ht="12.75">
      <c r="A40" s="134">
        <v>26</v>
      </c>
      <c r="B40" s="135">
        <v>43562.07638888889</v>
      </c>
      <c r="C40" s="160">
        <v>43562.62847222222</v>
      </c>
      <c r="D40" s="136">
        <f>(C40-B40)*24</f>
        <v>13.249999999883585</v>
      </c>
      <c r="E40" s="135" t="s">
        <v>89</v>
      </c>
      <c r="F40" s="137">
        <v>107002</v>
      </c>
      <c r="G40" s="138"/>
      <c r="H40" s="160">
        <v>43562.62847222222</v>
      </c>
      <c r="I40" s="160">
        <v>43562.91458333333</v>
      </c>
      <c r="J40" s="136">
        <f>(I40-H40)*24</f>
        <v>6.866666666697711</v>
      </c>
      <c r="K40" s="136">
        <f>(I40-H40)*24</f>
        <v>6.866666666697711</v>
      </c>
      <c r="L40" s="139" t="s">
        <v>23</v>
      </c>
      <c r="M40" s="140" t="s">
        <v>23</v>
      </c>
      <c r="N40" s="140" t="s">
        <v>23</v>
      </c>
      <c r="O40" s="141" t="s">
        <v>17</v>
      </c>
      <c r="P40" s="135"/>
      <c r="Q40" s="130">
        <f t="shared" si="0"/>
        <v>1</v>
      </c>
      <c r="R40" s="130">
        <f t="shared" si="1"/>
      </c>
      <c r="S40" s="130">
        <f t="shared" si="2"/>
      </c>
      <c r="T40" s="131">
        <f t="shared" si="7"/>
        <v>1</v>
      </c>
      <c r="U40" s="132"/>
      <c r="V40" s="132"/>
      <c r="W40" s="132"/>
    </row>
    <row r="41" spans="1:23" s="118" customFormat="1" ht="15.75" customHeight="1">
      <c r="A41" s="122">
        <v>27</v>
      </c>
      <c r="B41" s="123">
        <v>43562.91458333333</v>
      </c>
      <c r="C41" s="123">
        <v>43563.333333333336</v>
      </c>
      <c r="D41" s="154">
        <f>(C41-B41)*24</f>
        <v>10.050000000104774</v>
      </c>
      <c r="E41" s="123" t="s">
        <v>67</v>
      </c>
      <c r="F41" s="125"/>
      <c r="G41" s="126"/>
      <c r="H41" s="123"/>
      <c r="I41" s="123"/>
      <c r="J41" s="154">
        <f>(I41-H41)*24</f>
        <v>0</v>
      </c>
      <c r="K41" s="154">
        <f>(I41-H41)*24</f>
        <v>0</v>
      </c>
      <c r="L41" s="127"/>
      <c r="M41" s="128"/>
      <c r="N41" s="128"/>
      <c r="O41" s="129" t="s">
        <v>21</v>
      </c>
      <c r="P41" s="123"/>
      <c r="Q41" s="130">
        <f t="shared" si="0"/>
      </c>
      <c r="R41" s="130">
        <f t="shared" si="1"/>
        <v>1</v>
      </c>
      <c r="S41" s="130">
        <f t="shared" si="2"/>
      </c>
      <c r="T41" s="131">
        <f t="shared" si="7"/>
        <v>1</v>
      </c>
      <c r="U41" s="117"/>
      <c r="V41" s="117"/>
      <c r="W41" s="117"/>
    </row>
    <row r="42" spans="1:23" s="153" customFormat="1" ht="12.75">
      <c r="A42" s="142"/>
      <c r="B42" s="143"/>
      <c r="C42" s="143"/>
      <c r="D42" s="144">
        <f>SUM(D39:D41)</f>
        <v>136.5</v>
      </c>
      <c r="E42" s="145"/>
      <c r="F42" s="146"/>
      <c r="G42" s="147"/>
      <c r="H42" s="148"/>
      <c r="I42" s="148"/>
      <c r="J42" s="149">
        <f>SUM(J39:J41)</f>
        <v>7.5</v>
      </c>
      <c r="K42" s="149">
        <f>SUM(K39:K41)</f>
        <v>7.5</v>
      </c>
      <c r="L42" s="150"/>
      <c r="M42" s="151"/>
      <c r="N42" s="151"/>
      <c r="O42" s="152"/>
      <c r="P42" s="145"/>
      <c r="Q42" s="130">
        <f t="shared" si="0"/>
      </c>
      <c r="R42" s="130">
        <f t="shared" si="1"/>
      </c>
      <c r="S42" s="130">
        <f t="shared" si="2"/>
      </c>
      <c r="T42" s="131">
        <f t="shared" si="7"/>
        <v>0</v>
      </c>
      <c r="U42" s="30"/>
      <c r="V42" s="30"/>
      <c r="W42" s="30"/>
    </row>
    <row r="43" spans="1:23" s="133" customFormat="1" ht="12.75">
      <c r="A43" s="134">
        <v>28</v>
      </c>
      <c r="B43" s="135">
        <v>43564.333333333336</v>
      </c>
      <c r="C43" s="160">
        <v>43565.884722222225</v>
      </c>
      <c r="D43" s="136">
        <f>(C43-B43)*24</f>
        <v>37.233333333337214</v>
      </c>
      <c r="E43" s="135" t="s">
        <v>90</v>
      </c>
      <c r="F43" s="137">
        <v>1007005</v>
      </c>
      <c r="G43" s="138"/>
      <c r="H43" s="160">
        <v>43565.884722222225</v>
      </c>
      <c r="I43" s="160">
        <v>43565.902083333334</v>
      </c>
      <c r="J43" s="136">
        <f>(I43-H43)*24</f>
        <v>0.41666666662786156</v>
      </c>
      <c r="K43" s="136">
        <f>(I43-H43)*24</f>
        <v>0.41666666662786156</v>
      </c>
      <c r="L43" s="139" t="s">
        <v>23</v>
      </c>
      <c r="M43" s="140" t="s">
        <v>23</v>
      </c>
      <c r="N43" s="140" t="s">
        <v>23</v>
      </c>
      <c r="O43" s="141" t="s">
        <v>17</v>
      </c>
      <c r="P43" s="135"/>
      <c r="Q43" s="130">
        <f t="shared" si="0"/>
        <v>1</v>
      </c>
      <c r="R43" s="130">
        <f t="shared" si="1"/>
      </c>
      <c r="S43" s="130">
        <f t="shared" si="2"/>
      </c>
      <c r="T43" s="131">
        <f>SUM(Q43:S43)</f>
        <v>1</v>
      </c>
      <c r="U43" s="132"/>
      <c r="V43" s="132"/>
      <c r="W43" s="132"/>
    </row>
    <row r="44" spans="1:23" s="118" customFormat="1" ht="15.75" customHeight="1">
      <c r="A44" s="122">
        <v>29</v>
      </c>
      <c r="B44" s="123">
        <v>43565.902083333334</v>
      </c>
      <c r="C44" s="123">
        <v>43570.333333333336</v>
      </c>
      <c r="D44" s="154">
        <f>(C44-B44)*24</f>
        <v>106.35000000003492</v>
      </c>
      <c r="E44" s="123" t="s">
        <v>67</v>
      </c>
      <c r="F44" s="125"/>
      <c r="G44" s="126"/>
      <c r="H44" s="123"/>
      <c r="I44" s="123"/>
      <c r="J44" s="154">
        <f>(I44-H44)*24</f>
        <v>0</v>
      </c>
      <c r="K44" s="154">
        <f>(I44-H44)*24</f>
        <v>0</v>
      </c>
      <c r="L44" s="127"/>
      <c r="M44" s="128"/>
      <c r="N44" s="128"/>
      <c r="O44" s="129" t="s">
        <v>21</v>
      </c>
      <c r="P44" s="123"/>
      <c r="Q44" s="130">
        <f t="shared" si="0"/>
      </c>
      <c r="R44" s="130">
        <f t="shared" si="1"/>
        <v>1</v>
      </c>
      <c r="S44" s="130">
        <f t="shared" si="2"/>
      </c>
      <c r="T44" s="131">
        <f>SUM(Q44:S44)</f>
        <v>1</v>
      </c>
      <c r="U44" s="117"/>
      <c r="V44" s="117"/>
      <c r="W44" s="117"/>
    </row>
    <row r="45" spans="1:23" s="153" customFormat="1" ht="12.75">
      <c r="A45" s="142"/>
      <c r="B45" s="143"/>
      <c r="C45" s="143"/>
      <c r="D45" s="144">
        <f>SUM(D43:D44)</f>
        <v>143.58333333337214</v>
      </c>
      <c r="E45" s="145"/>
      <c r="F45" s="146"/>
      <c r="G45" s="147"/>
      <c r="H45" s="148"/>
      <c r="I45" s="148"/>
      <c r="J45" s="149">
        <f>SUM(J43:J44)</f>
        <v>0.41666666662786156</v>
      </c>
      <c r="K45" s="149">
        <f>SUM(K43:K44)</f>
        <v>0.41666666662786156</v>
      </c>
      <c r="L45" s="150"/>
      <c r="M45" s="151"/>
      <c r="N45" s="151"/>
      <c r="O45" s="152"/>
      <c r="P45" s="145"/>
      <c r="Q45" s="130">
        <f t="shared" si="0"/>
      </c>
      <c r="R45" s="130">
        <f t="shared" si="1"/>
      </c>
      <c r="S45" s="130">
        <f t="shared" si="2"/>
      </c>
      <c r="T45" s="131">
        <f>SUM(Q45:S45)</f>
        <v>0</v>
      </c>
      <c r="U45" s="30"/>
      <c r="V45" s="30"/>
      <c r="W45" s="30"/>
    </row>
    <row r="46" spans="1:23" s="133" customFormat="1" ht="12.75">
      <c r="A46" s="134">
        <v>30</v>
      </c>
      <c r="B46" s="135">
        <v>43571.333333333336</v>
      </c>
      <c r="C46" s="160">
        <v>43571.68402777778</v>
      </c>
      <c r="D46" s="136">
        <f>(C46-B46)*24</f>
        <v>8.41666666668607</v>
      </c>
      <c r="E46" s="135" t="s">
        <v>93</v>
      </c>
      <c r="F46" s="137"/>
      <c r="G46" s="138"/>
      <c r="H46" s="160">
        <v>43571.68402777778</v>
      </c>
      <c r="I46" s="160">
        <v>43571.78402777778</v>
      </c>
      <c r="J46" s="136">
        <f>(I46-H46)*24</f>
        <v>2.3999999999650754</v>
      </c>
      <c r="K46" s="136"/>
      <c r="L46" s="139"/>
      <c r="M46" s="140"/>
      <c r="N46" s="140"/>
      <c r="O46" s="141"/>
      <c r="P46" s="135"/>
      <c r="Q46" s="130">
        <f t="shared" si="0"/>
      </c>
      <c r="R46" s="130">
        <f t="shared" si="1"/>
      </c>
      <c r="S46" s="130">
        <f t="shared" si="2"/>
      </c>
      <c r="T46" s="131">
        <f>SUM(Q46:S46)</f>
        <v>0</v>
      </c>
      <c r="U46" s="132"/>
      <c r="V46" s="132"/>
      <c r="W46" s="132"/>
    </row>
    <row r="47" spans="1:23" s="133" customFormat="1" ht="12.75">
      <c r="A47" s="134"/>
      <c r="B47" s="135"/>
      <c r="C47" s="163"/>
      <c r="D47" s="136"/>
      <c r="E47" s="135"/>
      <c r="F47" s="137"/>
      <c r="G47" s="138"/>
      <c r="H47" s="164">
        <v>43571.68402777778</v>
      </c>
      <c r="I47" s="165">
        <v>43571.71666666667</v>
      </c>
      <c r="J47" s="166"/>
      <c r="K47" s="166">
        <f>(I47-H47)*24</f>
        <v>0.7833333332673647</v>
      </c>
      <c r="L47" s="167" t="s">
        <v>70</v>
      </c>
      <c r="M47" s="168" t="s">
        <v>70</v>
      </c>
      <c r="N47" s="168" t="s">
        <v>70</v>
      </c>
      <c r="O47" s="169" t="s">
        <v>17</v>
      </c>
      <c r="P47" s="170" t="s">
        <v>92</v>
      </c>
      <c r="Q47" s="130">
        <f t="shared" si="0"/>
        <v>1</v>
      </c>
      <c r="R47" s="130">
        <f t="shared" si="1"/>
      </c>
      <c r="S47" s="130">
        <f t="shared" si="2"/>
      </c>
      <c r="T47" s="131">
        <f>SUM(Q47:S47)</f>
        <v>1</v>
      </c>
      <c r="U47" s="132"/>
      <c r="V47" s="132"/>
      <c r="W47" s="132"/>
    </row>
    <row r="48" spans="1:23" s="133" customFormat="1" ht="12.75">
      <c r="A48" s="134"/>
      <c r="B48" s="135"/>
      <c r="C48" s="163"/>
      <c r="D48" s="136"/>
      <c r="E48" s="135"/>
      <c r="F48" s="137"/>
      <c r="G48" s="138"/>
      <c r="H48" s="171">
        <v>43571.71666666667</v>
      </c>
      <c r="I48" s="172">
        <v>43571.78402777778</v>
      </c>
      <c r="J48" s="173"/>
      <c r="K48" s="173">
        <f>(I48-H48)*24</f>
        <v>1.6166666666977108</v>
      </c>
      <c r="L48" s="174" t="s">
        <v>24</v>
      </c>
      <c r="M48" s="175" t="s">
        <v>24</v>
      </c>
      <c r="N48" s="175" t="s">
        <v>24</v>
      </c>
      <c r="O48" s="176" t="s">
        <v>66</v>
      </c>
      <c r="P48" s="177" t="s">
        <v>91</v>
      </c>
      <c r="Q48" s="130">
        <f t="shared" si="0"/>
      </c>
      <c r="R48" s="130">
        <f>IF($O48="Scheduled",1,"")</f>
      </c>
      <c r="S48" s="130">
        <f t="shared" si="2"/>
        <v>1</v>
      </c>
      <c r="T48" s="131">
        <f>SUM(Q48:S48)</f>
        <v>1</v>
      </c>
      <c r="U48" s="132"/>
      <c r="V48" s="132"/>
      <c r="W48" s="132"/>
    </row>
    <row r="49" spans="1:23" s="118" customFormat="1" ht="15.75" customHeight="1">
      <c r="A49" s="122">
        <v>32</v>
      </c>
      <c r="B49" s="123">
        <v>43571.78402777778</v>
      </c>
      <c r="C49" s="123">
        <v>43578</v>
      </c>
      <c r="D49" s="154">
        <f>(C49-B49)*24</f>
        <v>149.18333333329065</v>
      </c>
      <c r="E49" s="123" t="s">
        <v>67</v>
      </c>
      <c r="F49" s="125"/>
      <c r="G49" s="126"/>
      <c r="H49" s="123"/>
      <c r="I49" s="123"/>
      <c r="J49" s="154">
        <f>(I49-H49)*24</f>
        <v>0</v>
      </c>
      <c r="K49" s="154">
        <f>(I49-H49)*24</f>
        <v>0</v>
      </c>
      <c r="L49" s="127"/>
      <c r="M49" s="128"/>
      <c r="N49" s="128"/>
      <c r="O49" s="129" t="s">
        <v>21</v>
      </c>
      <c r="P49" s="123"/>
      <c r="Q49" s="130">
        <f t="shared" si="0"/>
      </c>
      <c r="R49" s="130">
        <f t="shared" si="1"/>
        <v>1</v>
      </c>
      <c r="S49" s="130">
        <f t="shared" si="2"/>
      </c>
      <c r="T49" s="131">
        <f>SUM(Q49:S49)</f>
        <v>1</v>
      </c>
      <c r="U49" s="117"/>
      <c r="V49" s="117"/>
      <c r="W49" s="117"/>
    </row>
    <row r="50" spans="1:23" s="153" customFormat="1" ht="12.75">
      <c r="A50" s="142"/>
      <c r="B50" s="143"/>
      <c r="C50" s="143"/>
      <c r="D50" s="144">
        <f>SUM(D46:D49)</f>
        <v>157.59999999997672</v>
      </c>
      <c r="E50" s="145"/>
      <c r="F50" s="146"/>
      <c r="G50" s="147"/>
      <c r="H50" s="148"/>
      <c r="I50" s="148"/>
      <c r="J50" s="149">
        <f>SUM(J46:J49)</f>
        <v>2.3999999999650754</v>
      </c>
      <c r="K50" s="149">
        <f>SUM(K46:K49)</f>
        <v>2.3999999999650754</v>
      </c>
      <c r="L50" s="150"/>
      <c r="M50" s="151"/>
      <c r="N50" s="151"/>
      <c r="O50" s="152"/>
      <c r="P50" s="145"/>
      <c r="Q50" s="130">
        <f t="shared" si="0"/>
      </c>
      <c r="R50" s="130">
        <f t="shared" si="1"/>
      </c>
      <c r="S50" s="130">
        <f t="shared" si="2"/>
      </c>
      <c r="T50" s="131">
        <f>SUM(Q50:S50)</f>
        <v>0</v>
      </c>
      <c r="U50" s="30"/>
      <c r="V50" s="30"/>
      <c r="W50" s="30"/>
    </row>
    <row r="51" spans="1:23" s="118" customFormat="1" ht="12.75">
      <c r="A51" s="106"/>
      <c r="B51" s="107"/>
      <c r="C51" s="107"/>
      <c r="D51" s="108"/>
      <c r="E51" s="109"/>
      <c r="F51" s="110"/>
      <c r="G51" s="111"/>
      <c r="H51" s="107"/>
      <c r="I51" s="107"/>
      <c r="J51" s="112"/>
      <c r="K51" s="112"/>
      <c r="L51" s="113"/>
      <c r="M51" s="114"/>
      <c r="N51" s="114"/>
      <c r="O51" s="115"/>
      <c r="P51" s="109"/>
      <c r="Q51" s="116"/>
      <c r="R51" s="116"/>
      <c r="S51" s="116"/>
      <c r="T51" s="116"/>
      <c r="U51" s="117"/>
      <c r="V51" s="117"/>
      <c r="W51" s="117"/>
    </row>
    <row r="52" spans="1:18" ht="12.75">
      <c r="A52" s="28"/>
      <c r="B52" s="14"/>
      <c r="C52" s="34" t="s">
        <v>25</v>
      </c>
      <c r="D52" s="35">
        <f>Q54</f>
        <v>19</v>
      </c>
      <c r="E52" s="16"/>
      <c r="F52" s="29"/>
      <c r="G52" s="18"/>
      <c r="H52" s="19"/>
      <c r="I52" s="19"/>
      <c r="J52" s="36" t="s">
        <v>26</v>
      </c>
      <c r="K52" s="37"/>
      <c r="L52" s="21"/>
      <c r="M52" s="22"/>
      <c r="N52" s="22"/>
      <c r="O52" s="38"/>
      <c r="P52" s="23"/>
      <c r="R52" s="12">
        <f>IF($L52="Scheduled",1,"")</f>
      </c>
    </row>
    <row r="53" spans="1:18" ht="12.75">
      <c r="A53" s="28"/>
      <c r="B53" s="14"/>
      <c r="C53" s="34" t="s">
        <v>27</v>
      </c>
      <c r="D53" s="35">
        <f>D54-D52</f>
        <v>12</v>
      </c>
      <c r="E53" s="16"/>
      <c r="F53" s="29"/>
      <c r="G53" s="18"/>
      <c r="H53" s="19"/>
      <c r="I53" s="19"/>
      <c r="J53" s="15" t="s">
        <v>28</v>
      </c>
      <c r="K53" s="39" t="s">
        <v>13</v>
      </c>
      <c r="L53" s="21"/>
      <c r="M53" s="22"/>
      <c r="N53" s="22"/>
      <c r="O53" s="38"/>
      <c r="P53" s="23"/>
      <c r="R53" s="12">
        <f>IF($L53="Scheduled",1,"")</f>
      </c>
    </row>
    <row r="54" spans="1:29" ht="13.5" thickBot="1">
      <c r="A54" s="28"/>
      <c r="B54" s="14"/>
      <c r="C54" s="34" t="s">
        <v>29</v>
      </c>
      <c r="D54" s="40">
        <f>COUNT(A6:A51)</f>
        <v>31</v>
      </c>
      <c r="E54" s="16"/>
      <c r="F54" s="29"/>
      <c r="G54" s="18"/>
      <c r="H54" s="19"/>
      <c r="I54" s="19"/>
      <c r="J54" s="41">
        <f>SUM(J6:J51)/2</f>
        <v>28.03333333338378</v>
      </c>
      <c r="K54" s="41">
        <f>SUM(K6:K51)/2</f>
        <v>28.03333333338378</v>
      </c>
      <c r="L54" s="21"/>
      <c r="M54" s="22"/>
      <c r="N54" s="22"/>
      <c r="O54" s="38"/>
      <c r="P54" s="23"/>
      <c r="Q54" s="40">
        <f>SUM(Q1:Q51)</f>
        <v>19</v>
      </c>
      <c r="R54" s="40">
        <f>SUM(R1:R51)</f>
        <v>12</v>
      </c>
      <c r="S54" s="40">
        <f>SUM(S1:S51)</f>
        <v>1</v>
      </c>
      <c r="T54" s="40">
        <f>SUM(T1:T51)</f>
        <v>32</v>
      </c>
      <c r="AA54" s="30"/>
      <c r="AB54" s="30"/>
      <c r="AC54" s="30"/>
    </row>
    <row r="55" spans="1:19" ht="13.5" thickTop="1">
      <c r="A55" s="28"/>
      <c r="B55" s="14"/>
      <c r="C55" s="34"/>
      <c r="D55" s="15"/>
      <c r="E55" s="16"/>
      <c r="F55" s="29"/>
      <c r="G55" s="18"/>
      <c r="H55" s="19"/>
      <c r="I55" s="19"/>
      <c r="J55" s="15"/>
      <c r="K55" s="20"/>
      <c r="L55" s="21"/>
      <c r="M55" s="22"/>
      <c r="N55" s="22"/>
      <c r="O55" s="21"/>
      <c r="P55" s="23"/>
      <c r="R55" s="42" t="s">
        <v>21</v>
      </c>
      <c r="S55" s="12" t="s">
        <v>30</v>
      </c>
    </row>
    <row r="56" spans="1:26" ht="12.75">
      <c r="A56" s="28"/>
      <c r="B56" s="14"/>
      <c r="C56" s="34" t="s">
        <v>31</v>
      </c>
      <c r="D56" s="15">
        <f>SUM(D6:D51)/2</f>
        <v>1690.966666666558</v>
      </c>
      <c r="E56" s="43">
        <f>D56/24</f>
        <v>70.45694444443991</v>
      </c>
      <c r="F56" s="44" t="s">
        <v>32</v>
      </c>
      <c r="G56" s="18"/>
      <c r="H56" s="19"/>
      <c r="I56" s="19"/>
      <c r="J56" s="15"/>
      <c r="K56" s="20"/>
      <c r="L56" s="21"/>
      <c r="M56" s="22"/>
      <c r="N56" s="22"/>
      <c r="O56" s="21"/>
      <c r="P56" s="23"/>
      <c r="Q56" s="12">
        <f>IF($O58="Store Lost",1,"")</f>
      </c>
      <c r="T56" s="45"/>
      <c r="U56" s="30"/>
      <c r="V56" s="30"/>
      <c r="W56" s="30"/>
      <c r="X56" s="30"/>
      <c r="Y56" s="30"/>
      <c r="Z56" s="30"/>
    </row>
    <row r="57" spans="1:17" ht="12.75">
      <c r="A57" s="28"/>
      <c r="B57" s="14"/>
      <c r="C57" s="34" t="s">
        <v>33</v>
      </c>
      <c r="D57" s="15">
        <f>J54</f>
        <v>28.03333333338378</v>
      </c>
      <c r="E57" s="16" t="s">
        <v>34</v>
      </c>
      <c r="F57" s="29"/>
      <c r="G57" s="18"/>
      <c r="H57" s="19"/>
      <c r="I57" s="19"/>
      <c r="J57" s="15"/>
      <c r="K57" s="20"/>
      <c r="L57" s="21"/>
      <c r="M57" s="22"/>
      <c r="N57" s="22"/>
      <c r="O57" s="21"/>
      <c r="P57" s="23"/>
      <c r="Q57" s="12">
        <f>IF($O59="Store Lost",1,"")</f>
      </c>
    </row>
    <row r="58" spans="1:17" ht="12.75">
      <c r="A58" s="28"/>
      <c r="B58" s="14"/>
      <c r="C58" s="34" t="s">
        <v>35</v>
      </c>
      <c r="D58" s="40">
        <f>SUM(D56:D57)</f>
        <v>1718.9999999999418</v>
      </c>
      <c r="E58" s="43"/>
      <c r="F58" s="29"/>
      <c r="G58" s="18"/>
      <c r="H58" s="19"/>
      <c r="I58" s="19"/>
      <c r="J58" s="15"/>
      <c r="K58" s="20"/>
      <c r="L58" s="21"/>
      <c r="M58" s="22"/>
      <c r="N58" s="22"/>
      <c r="O58" s="21"/>
      <c r="P58" s="23"/>
      <c r="Q58" s="12" t="e">
        <f>IF(#REF!="Store Lost",1,"")</f>
        <v>#REF!</v>
      </c>
    </row>
    <row r="59" spans="1:18" ht="12.75">
      <c r="A59" s="28"/>
      <c r="B59" s="14"/>
      <c r="C59" s="34"/>
      <c r="D59" s="46"/>
      <c r="E59" s="47"/>
      <c r="F59" s="29"/>
      <c r="G59" s="18"/>
      <c r="H59" s="15"/>
      <c r="I59" s="19"/>
      <c r="J59" s="15"/>
      <c r="K59" s="20"/>
      <c r="L59" s="21"/>
      <c r="M59" s="22"/>
      <c r="N59" s="22"/>
      <c r="O59" s="21"/>
      <c r="P59" s="23"/>
      <c r="Q59" s="48">
        <f>Q54+R54</f>
        <v>31</v>
      </c>
      <c r="R59" s="12">
        <f>IF($P60="Store Lost",1,"")</f>
      </c>
    </row>
    <row r="60" spans="1:18" ht="12.75">
      <c r="A60" s="28"/>
      <c r="B60" s="14"/>
      <c r="C60" s="34" t="s">
        <v>36</v>
      </c>
      <c r="D60" s="49">
        <f>IF(D52,D56/D52,D56)</f>
        <v>88.99824561402937</v>
      </c>
      <c r="E60" s="16"/>
      <c r="F60" s="29"/>
      <c r="G60" s="18"/>
      <c r="J60" s="7"/>
      <c r="K60" s="50"/>
      <c r="Q60" s="23"/>
      <c r="R60" s="12">
        <f>IF($P62="Store Lost",1,"")</f>
      </c>
    </row>
    <row r="61" spans="1:18" ht="12.75">
      <c r="A61" s="28"/>
      <c r="B61" s="14"/>
      <c r="C61" s="34" t="s">
        <v>37</v>
      </c>
      <c r="D61" s="46">
        <f>IF(D52,24/D60,0)</f>
        <v>0.26966823710305504</v>
      </c>
      <c r="E61" s="51"/>
      <c r="F61" s="52"/>
      <c r="G61" s="53"/>
      <c r="K61" s="50"/>
      <c r="Q61" s="23"/>
      <c r="R61" s="12" t="e">
        <f>NA()</f>
        <v>#N/A</v>
      </c>
    </row>
    <row r="62" spans="1:18" ht="12.75">
      <c r="A62" s="28"/>
      <c r="B62" s="14"/>
      <c r="C62" s="34" t="s">
        <v>38</v>
      </c>
      <c r="D62" s="119">
        <f>D56/D58</f>
        <v>0.9836920690323533</v>
      </c>
      <c r="E62" s="54"/>
      <c r="F62" s="29"/>
      <c r="G62" s="18"/>
      <c r="K62" s="50"/>
      <c r="Q62" s="23"/>
      <c r="R62" s="12" t="e">
        <f>NA()</f>
        <v>#N/A</v>
      </c>
    </row>
    <row r="63" spans="1:29" s="55" customFormat="1" ht="12.75">
      <c r="A63" s="28"/>
      <c r="B63" s="14"/>
      <c r="C63" s="14"/>
      <c r="D63" s="15"/>
      <c r="E63" s="16"/>
      <c r="F63" s="29"/>
      <c r="G63" s="18"/>
      <c r="H63" s="7"/>
      <c r="I63" s="7"/>
      <c r="J63" s="3"/>
      <c r="K63" s="50"/>
      <c r="L63" s="9"/>
      <c r="M63" s="10"/>
      <c r="N63" s="10"/>
      <c r="O63" s="9"/>
      <c r="P63" s="11"/>
      <c r="Q63" s="23"/>
      <c r="R63" s="12">
        <f aca="true" t="shared" si="8" ref="R63:R71">IF($P65="Store Lost",1,"")</f>
      </c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18" ht="12.75">
      <c r="A64" s="28"/>
      <c r="B64" s="14"/>
      <c r="C64" s="14"/>
      <c r="D64" s="15"/>
      <c r="E64" s="16"/>
      <c r="F64" s="29"/>
      <c r="G64" s="18"/>
      <c r="K64" s="50"/>
      <c r="Q64" s="23"/>
      <c r="R64" s="12">
        <f t="shared" si="8"/>
      </c>
    </row>
    <row r="65" spans="1:18" ht="12.75">
      <c r="A65" s="28"/>
      <c r="B65" s="14"/>
      <c r="C65" s="14"/>
      <c r="D65" s="15"/>
      <c r="E65" s="16"/>
      <c r="F65" s="29"/>
      <c r="G65" s="18"/>
      <c r="K65" s="50"/>
      <c r="Q65" s="23"/>
      <c r="R65" s="12">
        <f t="shared" si="8"/>
      </c>
    </row>
    <row r="66" spans="1:18" ht="12.75">
      <c r="A66" s="28"/>
      <c r="B66" s="14"/>
      <c r="C66" s="14"/>
      <c r="D66" s="15"/>
      <c r="E66" s="16"/>
      <c r="F66" s="29"/>
      <c r="G66" s="18"/>
      <c r="K66" s="50"/>
      <c r="Q66" s="23"/>
      <c r="R66" s="12">
        <f t="shared" si="8"/>
      </c>
    </row>
    <row r="67" spans="1:18" ht="12.75">
      <c r="A67" s="28"/>
      <c r="B67" s="14"/>
      <c r="C67" s="14"/>
      <c r="D67" s="15"/>
      <c r="E67" s="16"/>
      <c r="F67" s="29"/>
      <c r="G67" s="18"/>
      <c r="K67" s="50"/>
      <c r="Q67" s="23"/>
      <c r="R67" s="12">
        <f t="shared" si="8"/>
      </c>
    </row>
    <row r="68" spans="1:18" ht="12.75">
      <c r="A68" s="28"/>
      <c r="B68" s="14"/>
      <c r="C68" s="14"/>
      <c r="D68" s="15"/>
      <c r="E68" s="16"/>
      <c r="F68" s="29"/>
      <c r="G68" s="18"/>
      <c r="K68" s="50"/>
      <c r="Q68" s="23"/>
      <c r="R68" s="12">
        <f t="shared" si="8"/>
      </c>
    </row>
    <row r="69" spans="1:18" ht="12.75">
      <c r="A69" s="28"/>
      <c r="B69" s="14"/>
      <c r="C69" s="14"/>
      <c r="D69" s="15"/>
      <c r="E69" s="16"/>
      <c r="F69" s="29"/>
      <c r="G69" s="18"/>
      <c r="K69" s="50"/>
      <c r="Q69" s="23"/>
      <c r="R69" s="12">
        <f t="shared" si="8"/>
      </c>
    </row>
    <row r="70" spans="1:18" ht="12.75">
      <c r="A70" s="28"/>
      <c r="B70" s="14"/>
      <c r="C70" s="14"/>
      <c r="D70" s="15"/>
      <c r="E70" s="16"/>
      <c r="F70" s="29"/>
      <c r="G70" s="18"/>
      <c r="K70" s="50"/>
      <c r="Q70" s="23"/>
      <c r="R70" s="12">
        <f t="shared" si="8"/>
      </c>
    </row>
    <row r="71" spans="1:18" ht="12.75">
      <c r="A71" s="28"/>
      <c r="B71" s="14"/>
      <c r="C71" s="14"/>
      <c r="D71" s="15"/>
      <c r="E71" s="16"/>
      <c r="F71" s="29"/>
      <c r="G71" s="18"/>
      <c r="K71" s="50"/>
      <c r="Q71" s="23"/>
      <c r="R71" s="12">
        <f t="shared" si="8"/>
      </c>
    </row>
    <row r="72" spans="1:29" s="56" customFormat="1" ht="12.75">
      <c r="A72" s="28"/>
      <c r="B72" s="14"/>
      <c r="C72" s="14"/>
      <c r="D72" s="15"/>
      <c r="E72" s="16"/>
      <c r="F72" s="29"/>
      <c r="G72" s="18"/>
      <c r="H72" s="7"/>
      <c r="I72" s="7"/>
      <c r="J72" s="3"/>
      <c r="K72" s="50"/>
      <c r="L72" s="9"/>
      <c r="M72" s="10"/>
      <c r="N72" s="10"/>
      <c r="O72" s="9"/>
      <c r="P72" s="11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1:29" s="30" customFormat="1" ht="12.75">
      <c r="A73" s="28"/>
      <c r="B73" s="14"/>
      <c r="C73" s="14"/>
      <c r="D73" s="15"/>
      <c r="E73" s="16"/>
      <c r="F73" s="29"/>
      <c r="G73" s="18"/>
      <c r="H73" s="7"/>
      <c r="I73" s="7"/>
      <c r="J73" s="3"/>
      <c r="K73" s="50"/>
      <c r="L73" s="9"/>
      <c r="M73" s="10"/>
      <c r="N73" s="10"/>
      <c r="O73" s="9"/>
      <c r="P73" s="11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55"/>
      <c r="AB73" s="55"/>
      <c r="AC73" s="55"/>
    </row>
    <row r="74" spans="1:16" ht="12.75">
      <c r="A74" s="28"/>
      <c r="B74" s="14"/>
      <c r="C74" s="14"/>
      <c r="D74" s="15"/>
      <c r="E74" s="16"/>
      <c r="F74" s="29"/>
      <c r="G74" s="18"/>
      <c r="H74" s="19"/>
      <c r="I74" s="19"/>
      <c r="J74" s="15"/>
      <c r="K74" s="20"/>
      <c r="L74" s="21"/>
      <c r="M74" s="22"/>
      <c r="N74" s="22"/>
      <c r="O74" s="21"/>
      <c r="P74" s="23"/>
    </row>
    <row r="75" spans="1:26" ht="12.75">
      <c r="A75" s="28"/>
      <c r="B75" s="14"/>
      <c r="C75" s="14"/>
      <c r="E75" s="16"/>
      <c r="F75" s="29"/>
      <c r="G75" s="18"/>
      <c r="H75" s="19"/>
      <c r="I75" s="19"/>
      <c r="L75" s="21"/>
      <c r="M75" s="22"/>
      <c r="N75" s="22"/>
      <c r="O75" s="21"/>
      <c r="P75" s="23"/>
      <c r="U75" s="55"/>
      <c r="V75" s="55"/>
      <c r="W75" s="55"/>
      <c r="X75" s="55"/>
      <c r="Y75" s="55"/>
      <c r="Z75" s="55"/>
    </row>
    <row r="76" spans="1:16" ht="12.75">
      <c r="A76" s="28"/>
      <c r="B76" s="14"/>
      <c r="C76" s="14"/>
      <c r="E76" s="16"/>
      <c r="F76" s="29"/>
      <c r="G76" s="18"/>
      <c r="H76" s="19"/>
      <c r="I76" s="19"/>
      <c r="L76" s="21"/>
      <c r="M76" s="22"/>
      <c r="N76" s="22"/>
      <c r="O76" s="21"/>
      <c r="P76" s="23"/>
    </row>
    <row r="77" spans="1:16" ht="12.75">
      <c r="A77" s="28"/>
      <c r="B77" s="14"/>
      <c r="C77" s="14"/>
      <c r="E77" s="16"/>
      <c r="F77" s="29"/>
      <c r="G77" s="18"/>
      <c r="H77" s="19"/>
      <c r="I77" s="19"/>
      <c r="L77" s="21"/>
      <c r="M77" s="22"/>
      <c r="N77" s="22"/>
      <c r="O77" s="21"/>
      <c r="P77" s="23"/>
    </row>
    <row r="78" spans="1:16" ht="12.75">
      <c r="A78" s="28"/>
      <c r="B78" s="14"/>
      <c r="C78" s="14"/>
      <c r="F78" s="29"/>
      <c r="G78" s="18"/>
      <c r="H78" s="19"/>
      <c r="I78" s="19"/>
      <c r="L78" s="21"/>
      <c r="M78" s="22"/>
      <c r="N78" s="22"/>
      <c r="O78" s="21"/>
      <c r="P78" s="23"/>
    </row>
    <row r="79" spans="1:20" ht="12.75">
      <c r="A79" s="28"/>
      <c r="B79" s="14"/>
      <c r="C79" s="14"/>
      <c r="F79" s="29"/>
      <c r="G79" s="18"/>
      <c r="H79" s="19"/>
      <c r="I79" s="19"/>
      <c r="L79" s="21"/>
      <c r="M79" s="22"/>
      <c r="N79" s="22"/>
      <c r="O79" s="21"/>
      <c r="P79" s="23"/>
      <c r="R79" s="55"/>
      <c r="S79" s="55"/>
      <c r="T79" s="55"/>
    </row>
    <row r="80" spans="2:16" ht="12.75">
      <c r="B80" s="14"/>
      <c r="C80" s="14"/>
      <c r="F80" s="29"/>
      <c r="G80" s="18"/>
      <c r="H80" s="19"/>
      <c r="I80" s="19"/>
      <c r="L80" s="21"/>
      <c r="M80" s="22"/>
      <c r="N80" s="22"/>
      <c r="O80" s="21"/>
      <c r="P80" s="23"/>
    </row>
    <row r="81" spans="2:17" ht="12.75">
      <c r="B81" s="14"/>
      <c r="C81" s="14"/>
      <c r="F81" s="29"/>
      <c r="G81" s="18"/>
      <c r="H81" s="19"/>
      <c r="I81" s="19"/>
      <c r="L81" s="21"/>
      <c r="M81" s="22"/>
      <c r="N81" s="22"/>
      <c r="O81" s="21"/>
      <c r="P81" s="23"/>
      <c r="Q81" s="12">
        <f aca="true" t="shared" si="9" ref="Q81:Q112">IF($O83="Store Lost",1,"")</f>
      </c>
    </row>
    <row r="82" spans="2:29" ht="12.75">
      <c r="B82" s="14"/>
      <c r="C82" s="14"/>
      <c r="F82" s="29"/>
      <c r="G82" s="18"/>
      <c r="H82" s="19"/>
      <c r="I82" s="19"/>
      <c r="L82" s="21"/>
      <c r="M82" s="22"/>
      <c r="N82" s="22"/>
      <c r="O82" s="21"/>
      <c r="P82" s="23"/>
      <c r="Q82" s="12">
        <f t="shared" si="9"/>
      </c>
      <c r="AA82" s="56"/>
      <c r="AB82" s="56"/>
      <c r="AC82" s="56"/>
    </row>
    <row r="83" spans="2:29" ht="12.75">
      <c r="B83" s="14"/>
      <c r="C83" s="14"/>
      <c r="Q83" s="12">
        <f t="shared" si="9"/>
      </c>
      <c r="AA83" s="30"/>
      <c r="AB83" s="30"/>
      <c r="AC83" s="30"/>
    </row>
    <row r="84" spans="17:26" ht="12.75">
      <c r="Q84" s="12">
        <f t="shared" si="9"/>
      </c>
      <c r="U84" s="56"/>
      <c r="V84" s="56"/>
      <c r="W84" s="56"/>
      <c r="X84" s="56"/>
      <c r="Y84" s="56"/>
      <c r="Z84" s="56"/>
    </row>
    <row r="85" spans="17:26" ht="12.75">
      <c r="Q85" s="12">
        <f t="shared" si="9"/>
      </c>
      <c r="U85" s="30"/>
      <c r="V85" s="30"/>
      <c r="W85" s="30"/>
      <c r="X85" s="30"/>
      <c r="Y85" s="30"/>
      <c r="Z85" s="30"/>
    </row>
    <row r="86" spans="1:29" s="55" customFormat="1" ht="12.75">
      <c r="A86" s="1"/>
      <c r="B86" s="2"/>
      <c r="C86" s="2"/>
      <c r="D86" s="3"/>
      <c r="E86" s="4"/>
      <c r="F86" s="5"/>
      <c r="G86" s="6"/>
      <c r="H86" s="7"/>
      <c r="I86" s="7"/>
      <c r="J86" s="3"/>
      <c r="K86" s="8"/>
      <c r="L86" s="9"/>
      <c r="M86" s="10"/>
      <c r="N86" s="10"/>
      <c r="O86" s="9"/>
      <c r="P86" s="11"/>
      <c r="Q86" s="12">
        <f t="shared" si="9"/>
      </c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</row>
    <row r="87" ht="12.75">
      <c r="Q87" s="12">
        <f t="shared" si="9"/>
      </c>
    </row>
    <row r="88" spans="17:20" ht="12.75">
      <c r="Q88" s="12">
        <f t="shared" si="9"/>
      </c>
      <c r="R88" s="56"/>
      <c r="S88" s="56"/>
      <c r="T88" s="56"/>
    </row>
    <row r="89" spans="17:20" ht="12.75">
      <c r="Q89" s="12">
        <f t="shared" si="9"/>
      </c>
      <c r="R89" s="30"/>
      <c r="S89" s="30"/>
      <c r="T89" s="30"/>
    </row>
    <row r="90" ht="12.75">
      <c r="Q90" s="12">
        <f t="shared" si="9"/>
      </c>
    </row>
    <row r="91" ht="12.75">
      <c r="Q91" s="12">
        <f t="shared" si="9"/>
      </c>
    </row>
    <row r="92" ht="12.75">
      <c r="Q92" s="12">
        <f t="shared" si="9"/>
      </c>
    </row>
    <row r="93" ht="12.75">
      <c r="Q93" s="12">
        <f t="shared" si="9"/>
      </c>
    </row>
    <row r="94" ht="12.75">
      <c r="Q94" s="12">
        <f t="shared" si="9"/>
      </c>
    </row>
    <row r="95" ht="12.75">
      <c r="Q95" s="12">
        <f t="shared" si="9"/>
      </c>
    </row>
    <row r="96" spans="17:29" ht="12.75">
      <c r="Q96" s="12">
        <f t="shared" si="9"/>
      </c>
      <c r="AA96" s="55"/>
      <c r="AB96" s="55"/>
      <c r="AC96" s="55"/>
    </row>
    <row r="97" ht="12.75">
      <c r="Q97" s="12">
        <f t="shared" si="9"/>
      </c>
    </row>
    <row r="98" spans="17:26" ht="12.75">
      <c r="Q98" s="12">
        <f t="shared" si="9"/>
      </c>
      <c r="U98" s="55"/>
      <c r="V98" s="55"/>
      <c r="W98" s="55"/>
      <c r="X98" s="55"/>
      <c r="Y98" s="55"/>
      <c r="Z98" s="55"/>
    </row>
    <row r="99" spans="1:29" s="55" customFormat="1" ht="12.75">
      <c r="A99" s="1"/>
      <c r="B99" s="2"/>
      <c r="C99" s="2"/>
      <c r="D99" s="3"/>
      <c r="E99" s="4"/>
      <c r="F99" s="5"/>
      <c r="G99" s="6"/>
      <c r="H99" s="7"/>
      <c r="I99" s="7"/>
      <c r="J99" s="3"/>
      <c r="K99" s="8"/>
      <c r="L99" s="9"/>
      <c r="M99" s="10"/>
      <c r="N99" s="10"/>
      <c r="O99" s="9"/>
      <c r="P99" s="11"/>
      <c r="Q99" s="12">
        <f t="shared" si="9"/>
      </c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</row>
    <row r="100" spans="1:29" s="30" customFormat="1" ht="12.75">
      <c r="A100" s="1"/>
      <c r="B100" s="2"/>
      <c r="C100" s="2"/>
      <c r="D100" s="3"/>
      <c r="E100" s="4"/>
      <c r="F100" s="5"/>
      <c r="G100" s="6"/>
      <c r="H100" s="7"/>
      <c r="I100" s="7"/>
      <c r="J100" s="3"/>
      <c r="K100" s="8"/>
      <c r="L100" s="9"/>
      <c r="M100" s="10"/>
      <c r="N100" s="10"/>
      <c r="O100" s="9"/>
      <c r="P100" s="11"/>
      <c r="Q100" s="12">
        <f t="shared" si="9"/>
      </c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</row>
    <row r="101" spans="1:29" s="55" customFormat="1" ht="12.75">
      <c r="A101" s="1"/>
      <c r="B101" s="2"/>
      <c r="C101" s="2"/>
      <c r="D101" s="3"/>
      <c r="E101" s="4"/>
      <c r="F101" s="5"/>
      <c r="G101" s="6"/>
      <c r="H101" s="7"/>
      <c r="I101" s="7"/>
      <c r="J101" s="3"/>
      <c r="K101" s="8"/>
      <c r="L101" s="9"/>
      <c r="M101" s="10"/>
      <c r="N101" s="10"/>
      <c r="O101" s="9"/>
      <c r="P101" s="11"/>
      <c r="Q101" s="12">
        <f t="shared" si="9"/>
      </c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</row>
    <row r="102" spans="17:20" ht="12.75">
      <c r="Q102" s="12">
        <f t="shared" si="9"/>
      </c>
      <c r="R102" s="55"/>
      <c r="S102" s="55"/>
      <c r="T102" s="55"/>
    </row>
    <row r="103" ht="12.75">
      <c r="Q103" s="12">
        <f t="shared" si="9"/>
      </c>
    </row>
    <row r="104" ht="12.75">
      <c r="Q104" s="12">
        <f t="shared" si="9"/>
      </c>
    </row>
    <row r="105" ht="12.75">
      <c r="Q105" s="12">
        <f t="shared" si="9"/>
      </c>
    </row>
    <row r="106" ht="12.75">
      <c r="Q106" s="12">
        <f t="shared" si="9"/>
      </c>
    </row>
    <row r="107" ht="12.75">
      <c r="Q107" s="12">
        <f t="shared" si="9"/>
      </c>
    </row>
    <row r="108" ht="12.75">
      <c r="Q108" s="12">
        <f t="shared" si="9"/>
      </c>
    </row>
    <row r="109" spans="17:29" ht="12.75">
      <c r="Q109" s="12">
        <f t="shared" si="9"/>
      </c>
      <c r="AA109" s="55"/>
      <c r="AB109" s="55"/>
      <c r="AC109" s="55"/>
    </row>
    <row r="110" spans="17:29" ht="12.75">
      <c r="Q110" s="12">
        <f t="shared" si="9"/>
      </c>
      <c r="AA110" s="30"/>
      <c r="AB110" s="30"/>
      <c r="AC110" s="30"/>
    </row>
    <row r="111" spans="17:29" ht="12.75">
      <c r="Q111" s="12">
        <f t="shared" si="9"/>
      </c>
      <c r="U111" s="55"/>
      <c r="V111" s="55"/>
      <c r="W111" s="55"/>
      <c r="X111" s="55"/>
      <c r="Y111" s="55"/>
      <c r="Z111" s="55"/>
      <c r="AA111" s="55"/>
      <c r="AB111" s="55"/>
      <c r="AC111" s="55"/>
    </row>
    <row r="112" spans="17:26" ht="12.75">
      <c r="Q112" s="12">
        <f t="shared" si="9"/>
      </c>
      <c r="U112" s="30"/>
      <c r="V112" s="30"/>
      <c r="W112" s="30"/>
      <c r="X112" s="30"/>
      <c r="Y112" s="30"/>
      <c r="Z112" s="30"/>
    </row>
    <row r="113" spans="17:26" ht="12.75">
      <c r="Q113" s="12">
        <f aca="true" t="shared" si="10" ref="Q113:Q138">IF($O115="Store Lost",1,"")</f>
      </c>
      <c r="U113" s="55"/>
      <c r="V113" s="55"/>
      <c r="W113" s="55"/>
      <c r="X113" s="55"/>
      <c r="Y113" s="55"/>
      <c r="Z113" s="55"/>
    </row>
    <row r="114" ht="12.75">
      <c r="Q114" s="12">
        <f t="shared" si="10"/>
      </c>
    </row>
    <row r="115" spans="17:20" ht="12.75">
      <c r="Q115" s="12">
        <f t="shared" si="10"/>
      </c>
      <c r="R115" s="55"/>
      <c r="S115" s="55"/>
      <c r="T115" s="55"/>
    </row>
    <row r="116" spans="17:20" ht="12.75">
      <c r="Q116" s="12">
        <f t="shared" si="10"/>
      </c>
      <c r="R116" s="30"/>
      <c r="S116" s="30"/>
      <c r="T116" s="30"/>
    </row>
    <row r="117" spans="17:20" ht="12.75">
      <c r="Q117" s="12">
        <f t="shared" si="10"/>
      </c>
      <c r="R117" s="55"/>
      <c r="S117" s="55"/>
      <c r="T117" s="55"/>
    </row>
    <row r="118" ht="12.75">
      <c r="Q118" s="12">
        <f t="shared" si="10"/>
      </c>
    </row>
    <row r="119" ht="12.75">
      <c r="Q119" s="12">
        <f t="shared" si="10"/>
      </c>
    </row>
    <row r="120" ht="12.75">
      <c r="Q120" s="12">
        <f t="shared" si="10"/>
      </c>
    </row>
    <row r="121" ht="12.75">
      <c r="Q121" s="12">
        <f t="shared" si="10"/>
      </c>
    </row>
    <row r="122" spans="1:29" s="55" customFormat="1" ht="12.75">
      <c r="A122" s="1"/>
      <c r="B122" s="2"/>
      <c r="C122" s="2"/>
      <c r="D122" s="3"/>
      <c r="E122" s="4"/>
      <c r="F122" s="5"/>
      <c r="G122" s="6"/>
      <c r="H122" s="7"/>
      <c r="I122" s="7"/>
      <c r="J122" s="3"/>
      <c r="K122" s="8"/>
      <c r="L122" s="9"/>
      <c r="M122" s="10"/>
      <c r="N122" s="10"/>
      <c r="O122" s="9"/>
      <c r="P122" s="11"/>
      <c r="Q122" s="12">
        <f t="shared" si="10"/>
      </c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</row>
    <row r="123" ht="12.75">
      <c r="Q123" s="12">
        <f t="shared" si="10"/>
      </c>
    </row>
    <row r="124" ht="12.75">
      <c r="Q124" s="12">
        <f t="shared" si="10"/>
      </c>
    </row>
    <row r="125" ht="12.75">
      <c r="Q125" s="12">
        <f t="shared" si="10"/>
      </c>
    </row>
    <row r="126" ht="12.75">
      <c r="Q126" s="12">
        <f t="shared" si="10"/>
      </c>
    </row>
    <row r="127" ht="12.75">
      <c r="Q127" s="12">
        <f t="shared" si="10"/>
      </c>
    </row>
    <row r="128" ht="12.75">
      <c r="Q128" s="12">
        <f t="shared" si="10"/>
      </c>
    </row>
    <row r="129" ht="12.75">
      <c r="Q129" s="12">
        <f t="shared" si="10"/>
      </c>
    </row>
    <row r="130" ht="12.75">
      <c r="Q130" s="12">
        <f t="shared" si="10"/>
      </c>
    </row>
    <row r="131" ht="12.75">
      <c r="Q131" s="12">
        <f t="shared" si="10"/>
      </c>
    </row>
    <row r="132" spans="17:29" ht="12.75">
      <c r="Q132" s="12">
        <f t="shared" si="10"/>
      </c>
      <c r="AA132" s="55"/>
      <c r="AB132" s="55"/>
      <c r="AC132" s="55"/>
    </row>
    <row r="133" ht="12.75">
      <c r="Q133" s="12">
        <f t="shared" si="10"/>
      </c>
    </row>
    <row r="134" spans="17:26" ht="12.75">
      <c r="Q134" s="12">
        <f t="shared" si="10"/>
      </c>
      <c r="U134" s="55"/>
      <c r="V134" s="55"/>
      <c r="W134" s="55"/>
      <c r="X134" s="55"/>
      <c r="Y134" s="55"/>
      <c r="Z134" s="55"/>
    </row>
    <row r="135" ht="12.75">
      <c r="Q135" s="12">
        <f t="shared" si="10"/>
      </c>
    </row>
    <row r="136" ht="12.75">
      <c r="Q136" s="12">
        <f t="shared" si="10"/>
      </c>
    </row>
    <row r="137" ht="12.75">
      <c r="Q137" s="12">
        <f t="shared" si="10"/>
      </c>
    </row>
    <row r="138" spans="17:20" ht="12.75">
      <c r="Q138" s="12">
        <f t="shared" si="10"/>
      </c>
      <c r="R138" s="55"/>
      <c r="S138" s="55"/>
      <c r="T138" s="55"/>
    </row>
    <row r="142" ht="12.75">
      <c r="Q142" s="12">
        <f>COUNT(Q51:Q138)</f>
        <v>2</v>
      </c>
    </row>
  </sheetData>
  <sheetProtection/>
  <mergeCells count="1">
    <mergeCell ref="A2:I2"/>
  </mergeCells>
  <printOptions/>
  <pageMargins left="0" right="0" top="0" bottom="0.15" header="0.5118055555555555" footer="0.15"/>
  <pageSetup fitToHeight="0" fitToWidth="1" horizontalDpi="300" verticalDpi="300" orientation="landscape" paperSize="5" scale="68" r:id="rId2"/>
  <headerFooter alignWithMargins="0">
    <oddFooter>&amp;RUpdated &amp;D</oddFooter>
  </headerFooter>
  <rowBreaks count="1" manualBreakCount="1">
    <brk id="7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43"/>
  <sheetViews>
    <sheetView zoomScalePageLayoutView="0" workbookViewId="0" topLeftCell="A19">
      <selection activeCell="C28" sqref="C28"/>
    </sheetView>
  </sheetViews>
  <sheetFormatPr defaultColWidth="9.140625" defaultRowHeight="12.75"/>
  <cols>
    <col min="1" max="1" width="21.8515625" style="0" customWidth="1"/>
    <col min="2" max="8" width="12.00390625" style="0" customWidth="1"/>
    <col min="9" max="13" width="10.57421875" style="0" customWidth="1"/>
    <col min="14" max="15" width="22.28125" style="0" customWidth="1"/>
    <col min="16" max="16" width="12.00390625" style="0" customWidth="1"/>
    <col min="17" max="18" width="22.28125" style="0" customWidth="1"/>
    <col min="19" max="19" width="12.00390625" style="0" customWidth="1"/>
    <col min="20" max="21" width="22.28125" style="0" customWidth="1"/>
    <col min="22" max="22" width="4.00390625" style="0" customWidth="1"/>
    <col min="23" max="24" width="22.28125" style="0" customWidth="1"/>
    <col min="25" max="25" width="12.00390625" style="0" customWidth="1"/>
    <col min="26" max="27" width="21.140625" style="0" customWidth="1"/>
    <col min="28" max="28" width="4.00390625" style="0" customWidth="1"/>
    <col min="29" max="30" width="21.140625" style="0" bestFit="1" customWidth="1"/>
    <col min="31" max="31" width="4.421875" style="0" customWidth="1"/>
    <col min="32" max="33" width="21.140625" style="0" bestFit="1" customWidth="1"/>
    <col min="34" max="34" width="5.00390625" style="0" customWidth="1"/>
    <col min="35" max="36" width="21.140625" style="0" bestFit="1" customWidth="1"/>
    <col min="37" max="37" width="10.28125" style="0" bestFit="1" customWidth="1"/>
  </cols>
  <sheetData>
    <row r="3" spans="1:10" ht="12.75">
      <c r="A3" s="178"/>
      <c r="B3" s="179" t="s">
        <v>14</v>
      </c>
      <c r="C3" s="180"/>
      <c r="D3" s="180"/>
      <c r="E3" s="180"/>
      <c r="F3" s="180"/>
      <c r="G3" s="180"/>
      <c r="H3" s="180"/>
      <c r="I3" s="181"/>
      <c r="J3" s="196"/>
    </row>
    <row r="4" spans="1:10" ht="12.75">
      <c r="A4" s="179" t="s">
        <v>39</v>
      </c>
      <c r="B4" s="178" t="s">
        <v>22</v>
      </c>
      <c r="C4" s="182" t="s">
        <v>23</v>
      </c>
      <c r="D4" s="182" t="s">
        <v>24</v>
      </c>
      <c r="E4" s="182" t="s">
        <v>69</v>
      </c>
      <c r="F4" s="182" t="s">
        <v>70</v>
      </c>
      <c r="G4" s="182" t="s">
        <v>76</v>
      </c>
      <c r="H4" s="182" t="s">
        <v>86</v>
      </c>
      <c r="I4" s="183" t="s">
        <v>59</v>
      </c>
      <c r="J4" s="196"/>
    </row>
    <row r="5" spans="1:10" ht="12.75">
      <c r="A5" s="178" t="s">
        <v>40</v>
      </c>
      <c r="B5" s="184">
        <v>0</v>
      </c>
      <c r="C5" s="185">
        <v>0</v>
      </c>
      <c r="D5" s="185">
        <v>1</v>
      </c>
      <c r="E5" s="185">
        <v>0</v>
      </c>
      <c r="F5" s="185">
        <v>0</v>
      </c>
      <c r="G5" s="185">
        <v>0</v>
      </c>
      <c r="H5" s="185">
        <v>0</v>
      </c>
      <c r="I5" s="186">
        <v>1</v>
      </c>
      <c r="J5" s="195"/>
    </row>
    <row r="6" spans="1:10" ht="12.75">
      <c r="A6" s="187" t="s">
        <v>41</v>
      </c>
      <c r="B6" s="188">
        <v>6</v>
      </c>
      <c r="C6" s="70">
        <v>6</v>
      </c>
      <c r="D6" s="70">
        <v>1</v>
      </c>
      <c r="E6" s="70">
        <v>1</v>
      </c>
      <c r="F6" s="70">
        <v>2</v>
      </c>
      <c r="G6" s="70">
        <v>1</v>
      </c>
      <c r="H6" s="70">
        <v>2</v>
      </c>
      <c r="I6" s="189">
        <v>19</v>
      </c>
      <c r="J6" s="195"/>
    </row>
    <row r="7" spans="1:10" ht="12.75">
      <c r="A7" s="190" t="s">
        <v>68</v>
      </c>
      <c r="B7" s="192">
        <v>8.800000000046566</v>
      </c>
      <c r="C7" s="193">
        <v>11.983333333628252</v>
      </c>
      <c r="D7" s="191">
        <v>2.900000000023283</v>
      </c>
      <c r="E7" s="191">
        <v>0.7666666665463708</v>
      </c>
      <c r="F7" s="191">
        <v>1.416666666569654</v>
      </c>
      <c r="G7" s="191">
        <v>0.39999999990686774</v>
      </c>
      <c r="H7" s="191">
        <v>1.7666666666627862</v>
      </c>
      <c r="I7" s="194">
        <v>28.03333333338378</v>
      </c>
      <c r="J7" s="197"/>
    </row>
    <row r="13" spans="2:21" ht="12.75">
      <c r="B13" s="57" t="s">
        <v>23</v>
      </c>
      <c r="C13" s="58" t="s">
        <v>44</v>
      </c>
      <c r="D13" s="58" t="s">
        <v>22</v>
      </c>
      <c r="E13" s="58" t="s">
        <v>45</v>
      </c>
      <c r="F13" s="58" t="s">
        <v>46</v>
      </c>
      <c r="G13" s="58" t="s">
        <v>47</v>
      </c>
      <c r="H13" s="58" t="s">
        <v>48</v>
      </c>
      <c r="I13" s="58" t="s">
        <v>49</v>
      </c>
      <c r="J13" s="198" t="s">
        <v>76</v>
      </c>
      <c r="K13" s="58" t="s">
        <v>50</v>
      </c>
      <c r="L13" s="58" t="s">
        <v>51</v>
      </c>
      <c r="M13" s="58" t="s">
        <v>52</v>
      </c>
      <c r="N13" s="58" t="s">
        <v>53</v>
      </c>
      <c r="O13" s="58" t="s">
        <v>54</v>
      </c>
      <c r="P13" s="58" t="s">
        <v>55</v>
      </c>
      <c r="Q13" s="58" t="s">
        <v>56</v>
      </c>
      <c r="R13" s="59" t="s">
        <v>57</v>
      </c>
      <c r="S13" s="60" t="s">
        <v>58</v>
      </c>
      <c r="T13" s="60" t="s">
        <v>59</v>
      </c>
      <c r="U13" s="61" t="s">
        <v>60</v>
      </c>
    </row>
    <row r="14" spans="1:21" s="65" customFormat="1" ht="12.75">
      <c r="A14" s="120" t="s">
        <v>72</v>
      </c>
      <c r="B14" s="156">
        <f>IF(B16,SUM(B16/B25),"")</f>
        <v>0.006971107233059138</v>
      </c>
      <c r="C14" s="156">
        <f>IF(C16,SUM(C16/B25),"")</f>
      </c>
      <c r="D14" s="156">
        <f>IF(D16,SUM(D16/B25),"")</f>
        <v>0.005119255381062748</v>
      </c>
      <c r="E14" s="156">
        <f>IF(E16,SUM(E16/B25),"")</f>
      </c>
      <c r="F14" s="156">
        <f>IF(F16,SUM(F16/B25),"")</f>
        <v>0.00044599573388388414</v>
      </c>
      <c r="G14" s="156">
        <f>IF(G16,SUM(G16/B25),"")</f>
      </c>
      <c r="H14" s="156">
        <f>IF(H16,SUM(H16/B25),"")</f>
        <v>0.0010277292999783863</v>
      </c>
      <c r="I14" s="156">
        <f>IF(I16,SUM(I16/B25),"")</f>
        <v>0.001687027341491205</v>
      </c>
      <c r="J14" s="156">
        <f>IF(J16,SUM(J16/B25),"")</f>
        <v>0.00023269342635653362</v>
      </c>
      <c r="K14" s="156">
        <f>IF(K16,SUM(K16/B25),"")</f>
      </c>
      <c r="L14" s="156">
        <f>IF(L16,SUM(L16/D25),"")</f>
      </c>
      <c r="M14" s="156">
        <f>IF(M16,SUM(M16/E25),"")</f>
      </c>
      <c r="N14" s="156">
        <f>IF(N16,SUM(N16/B25),"")</f>
      </c>
      <c r="O14" s="156">
        <f>IF(O16,SUM(O16/B25),"")</f>
      </c>
      <c r="P14" s="156">
        <f>IF(Q16,SUM(Q16/C25),"")</f>
      </c>
      <c r="Q14" s="156">
        <f>IF(Q16,SUM(Q16/B25),"")</f>
      </c>
      <c r="R14" s="63">
        <f>IF(R16,SUM(R16/B25),"")</f>
      </c>
      <c r="S14" s="63">
        <f>IF(S16,SUM(S16/B25),"")</f>
        <v>0.0002423889858219172</v>
      </c>
      <c r="T14" s="63">
        <f>IF(T16,SUM(T16/B25),"")</f>
        <v>0.016307930967646732</v>
      </c>
      <c r="U14" s="64">
        <f>IF(U16,SUM(U16/N13),"")</f>
      </c>
    </row>
    <row r="15" spans="1:21" ht="12.75">
      <c r="A15" s="62" t="s">
        <v>61</v>
      </c>
      <c r="B15" s="66">
        <f>'[1]reliabilitySummary'!$B$7</f>
        <v>0.0054</v>
      </c>
      <c r="C15" s="66">
        <f>'[1]reliabilitySummary'!$B$8</f>
        <v>0.0012000000000000001</v>
      </c>
      <c r="D15" s="66">
        <f>'[1]reliabilitySummary'!$B$9</f>
        <v>0.0054</v>
      </c>
      <c r="E15" s="66">
        <f>'[1]reliabilitySummary'!$B$10</f>
        <v>0.003</v>
      </c>
      <c r="F15" s="66">
        <v>0.0028</v>
      </c>
      <c r="G15" s="66">
        <v>0.0028</v>
      </c>
      <c r="H15" s="66">
        <v>0.0028</v>
      </c>
      <c r="I15" s="66">
        <f>'[1]reliabilitySummary'!$B$16</f>
        <v>0.0036000000000000003</v>
      </c>
      <c r="J15" s="66">
        <f>'[1]reliabilitySummary'!$B$16</f>
        <v>0.0036000000000000003</v>
      </c>
      <c r="K15" s="66">
        <f>'[1]reliabilitySummary'!$B$18</f>
        <v>0.0012000000000000001</v>
      </c>
      <c r="L15" s="66">
        <f>'[1]reliabilitySummary'!$B$19</f>
        <v>0</v>
      </c>
      <c r="M15" s="66">
        <f>'[1]reliabilitySummary'!$B$20</f>
        <v>0.0006000000000000001</v>
      </c>
      <c r="N15" s="66">
        <f>'[1]reliabilitySummary'!$B$24</f>
        <v>0.0006000000000000001</v>
      </c>
      <c r="O15" s="66">
        <f>'[1]reliabilitySummary'!$B$25</f>
        <v>0.0018000000000000002</v>
      </c>
      <c r="P15" s="66">
        <f>'[1]reliabilitySummary'!$B$26</f>
        <v>0.0006000000000000001</v>
      </c>
      <c r="Q15" s="66">
        <f>'[1]reliabilitySummary'!$B$27</f>
        <v>0.0018000000000000002</v>
      </c>
      <c r="R15" s="66">
        <f>'[1]reliabilitySummary'!$B$11</f>
        <v>0.0012000000000000001</v>
      </c>
      <c r="S15" s="66">
        <f>'[1]reliabilitySummary'!$B$28</f>
        <v>0.0006000000000000001</v>
      </c>
      <c r="T15" s="66">
        <v>0.03</v>
      </c>
      <c r="U15" s="67"/>
    </row>
    <row r="16" spans="1:21" s="65" customFormat="1" ht="12.75">
      <c r="A16" s="62" t="s">
        <v>62</v>
      </c>
      <c r="B16" s="158">
        <f>GETPIVOTDATA("Sum of System 
Length",$A$3,"Group","RF")</f>
        <v>11.983333333628252</v>
      </c>
      <c r="C16" s="158"/>
      <c r="D16" s="158">
        <f>GETPIVOTDATA("Sum of System 
Length",$A$3,"Group","PS")</f>
        <v>8.800000000046566</v>
      </c>
      <c r="E16" s="158"/>
      <c r="F16" s="158">
        <f>GETPIVOTDATA("Sum of System 
Length",$A$3,"Group","SI")</f>
        <v>0.7666666665463708</v>
      </c>
      <c r="G16" s="157"/>
      <c r="H16" s="158">
        <f>GETPIVOTDATA("Sum of System 
Length",$A$3,"Group","HP")</f>
        <v>1.7666666666627862</v>
      </c>
      <c r="I16" s="158">
        <f>GETPIVOTDATA("Sum of System 
Length",$A$3,"Group","MOM")</f>
        <v>2.900000000023283</v>
      </c>
      <c r="J16" s="158">
        <f>GETPIVOTDATA("Sum of System 
Length",$A$3,"Group","VAC")</f>
        <v>0.39999999990686774</v>
      </c>
      <c r="K16" s="155"/>
      <c r="L16" s="157"/>
      <c r="N16" s="157"/>
      <c r="O16" s="155"/>
      <c r="P16" s="157"/>
      <c r="Q16" s="157"/>
      <c r="R16" s="157"/>
      <c r="S16" s="155">
        <v>0.41666666662786156</v>
      </c>
      <c r="T16" s="68">
        <f>'Main Data'!J54</f>
        <v>28.03333333338378</v>
      </c>
      <c r="U16" s="69"/>
    </row>
    <row r="17" spans="1:20" ht="12.75">
      <c r="A17" s="71" t="s">
        <v>63</v>
      </c>
      <c r="B17">
        <f>GETPIVOTDATA("Sum - Store Lost",$A$3,"Group","RF")</f>
        <v>6</v>
      </c>
      <c r="D17">
        <f>GETPIVOTDATA("Sum - Store Lost",$A$3,"Group","PS")</f>
        <v>6</v>
      </c>
      <c r="F17">
        <f>GETPIVOTDATA("Sum - Store Lost",$A$3,"Group","SI")</f>
        <v>1</v>
      </c>
      <c r="H17">
        <f>GETPIVOTDATA("Sum - Store Lost",$A$3,"Group","HP")</f>
        <v>2</v>
      </c>
      <c r="I17">
        <f>GETPIVOTDATA("Sum - Store Lost",$A$3,"Group","MOM")</f>
        <v>1</v>
      </c>
      <c r="J17">
        <f>GETPIVOTDATA("Sum - Store Lost",$A$3,"Group","VAC")</f>
        <v>1</v>
      </c>
      <c r="S17">
        <f>GETPIVOTDATA("Sum - Store Lost",$A$3,"Group","UNK")</f>
        <v>2</v>
      </c>
      <c r="T17" s="68">
        <f>SUM(B17:S17)</f>
        <v>19</v>
      </c>
    </row>
    <row r="18" spans="1:20" ht="12.75">
      <c r="A18" s="71"/>
      <c r="B18" s="70"/>
      <c r="C18" s="70"/>
      <c r="D18" s="70"/>
      <c r="E18" s="70"/>
      <c r="G18" s="70"/>
      <c r="H18" s="70"/>
      <c r="I18" s="70"/>
      <c r="J18" s="70"/>
      <c r="N18" s="70"/>
      <c r="P18" s="70"/>
      <c r="T18" s="68"/>
    </row>
    <row r="19" spans="1:20" ht="13.5" thickBot="1">
      <c r="A19" s="71"/>
      <c r="B19" s="157"/>
      <c r="C19" s="70"/>
      <c r="D19" s="70"/>
      <c r="E19" s="70"/>
      <c r="G19" s="70"/>
      <c r="H19" s="70"/>
      <c r="I19" s="70"/>
      <c r="J19" s="70"/>
      <c r="N19" s="70"/>
      <c r="P19" s="70"/>
      <c r="T19" s="68"/>
    </row>
    <row r="20" spans="2:20" ht="12.75">
      <c r="B20" s="57" t="s">
        <v>23</v>
      </c>
      <c r="C20" s="58" t="s">
        <v>44</v>
      </c>
      <c r="D20" s="58" t="s">
        <v>22</v>
      </c>
      <c r="E20" s="58" t="s">
        <v>45</v>
      </c>
      <c r="F20" s="58" t="s">
        <v>46</v>
      </c>
      <c r="G20" s="58" t="s">
        <v>47</v>
      </c>
      <c r="H20" s="58" t="s">
        <v>48</v>
      </c>
      <c r="I20" s="58" t="s">
        <v>24</v>
      </c>
      <c r="J20" s="198" t="s">
        <v>76</v>
      </c>
      <c r="K20" s="58" t="s">
        <v>50</v>
      </c>
      <c r="L20" s="58" t="s">
        <v>51</v>
      </c>
      <c r="M20" s="58" t="s">
        <v>52</v>
      </c>
      <c r="N20" s="58" t="s">
        <v>53</v>
      </c>
      <c r="O20" s="58" t="s">
        <v>54</v>
      </c>
      <c r="P20" s="58" t="s">
        <v>55</v>
      </c>
      <c r="Q20" s="58" t="s">
        <v>56</v>
      </c>
      <c r="R20" s="59" t="s">
        <v>57</v>
      </c>
      <c r="S20" s="60" t="s">
        <v>58</v>
      </c>
      <c r="T20" s="68"/>
    </row>
    <row r="21" spans="1:20" ht="12.75">
      <c r="A21" s="120" t="s">
        <v>72</v>
      </c>
      <c r="B21" s="72">
        <f aca="true" t="shared" si="0" ref="B21:I21">B17/($B24/24)</f>
        <v>0.08515839066412265</v>
      </c>
      <c r="C21" s="73">
        <f t="shared" si="0"/>
        <v>0</v>
      </c>
      <c r="D21" s="73">
        <f t="shared" si="0"/>
        <v>0.08515839066412265</v>
      </c>
      <c r="E21" s="73">
        <f t="shared" si="0"/>
        <v>0</v>
      </c>
      <c r="F21" s="72">
        <f t="shared" si="0"/>
        <v>0.014193065110687108</v>
      </c>
      <c r="G21" s="72">
        <f t="shared" si="0"/>
        <v>0</v>
      </c>
      <c r="H21" s="72">
        <f t="shared" si="0"/>
        <v>0.028386130221374217</v>
      </c>
      <c r="I21" s="72">
        <f t="shared" si="0"/>
        <v>0.014193065110687108</v>
      </c>
      <c r="J21" s="72">
        <f>J17/($B24/24)</f>
        <v>0.014193065110687108</v>
      </c>
      <c r="K21" s="73">
        <f>K17/($B24/24)</f>
        <v>0</v>
      </c>
      <c r="L21" s="73">
        <f>L17/($B24/24)</f>
        <v>0</v>
      </c>
      <c r="M21" s="72">
        <f>M17/($B24/24)</f>
        <v>0</v>
      </c>
      <c r="N21" s="73"/>
      <c r="O21" s="72">
        <f aca="true" t="shared" si="1" ref="O21:T21">O17/($B24/24)</f>
        <v>0</v>
      </c>
      <c r="P21" s="72">
        <f t="shared" si="1"/>
        <v>0</v>
      </c>
      <c r="Q21" s="73">
        <f>N17/($B24/24)</f>
        <v>0</v>
      </c>
      <c r="R21" s="72">
        <f t="shared" si="1"/>
        <v>0</v>
      </c>
      <c r="S21" s="72">
        <f t="shared" si="1"/>
        <v>0.028386130221374217</v>
      </c>
      <c r="T21" s="72">
        <f t="shared" si="1"/>
        <v>0.26966823710305504</v>
      </c>
    </row>
    <row r="22" spans="1:21" ht="12.75">
      <c r="A22" s="74" t="s">
        <v>61</v>
      </c>
      <c r="B22" s="75">
        <f>'[1]reliabilitySummary'!$F$7</f>
        <v>0.12</v>
      </c>
      <c r="C22" s="75">
        <f>'[1]reliabilitySummary'!$F$8</f>
        <v>0.03</v>
      </c>
      <c r="D22" s="75">
        <v>0.12</v>
      </c>
      <c r="E22" s="75">
        <v>0.05</v>
      </c>
      <c r="F22" s="75">
        <v>0.035</v>
      </c>
      <c r="G22" s="75">
        <v>0.035</v>
      </c>
      <c r="H22" s="75">
        <v>0.035</v>
      </c>
      <c r="I22" s="75">
        <v>0.06</v>
      </c>
      <c r="J22" s="75">
        <v>0.06</v>
      </c>
      <c r="K22" s="75">
        <v>0.02</v>
      </c>
      <c r="L22" s="76">
        <v>0</v>
      </c>
      <c r="M22" s="76">
        <v>0.01</v>
      </c>
      <c r="N22" s="76">
        <v>0.01</v>
      </c>
      <c r="O22" s="76">
        <v>0.01</v>
      </c>
      <c r="P22" s="76">
        <v>0.01</v>
      </c>
      <c r="Q22" s="76">
        <v>0.02</v>
      </c>
      <c r="R22" s="76">
        <v>0.01</v>
      </c>
      <c r="S22" s="76">
        <v>0.02</v>
      </c>
      <c r="T22" s="76">
        <f>SUM(B22:S22)</f>
        <v>0.6550000000000001</v>
      </c>
      <c r="U22" s="77"/>
    </row>
    <row r="24" spans="1:2" ht="12.75">
      <c r="A24" s="34" t="s">
        <v>31</v>
      </c>
      <c r="B24" s="65">
        <f>'Main Data'!D56</f>
        <v>1690.966666666558</v>
      </c>
    </row>
    <row r="25" spans="1:2" ht="12.75">
      <c r="A25" s="78" t="s">
        <v>35</v>
      </c>
      <c r="B25" s="76">
        <f>'Main Data'!D58</f>
        <v>1718.9999999999418</v>
      </c>
    </row>
    <row r="29" ht="12.75">
      <c r="A29" s="79"/>
    </row>
    <row r="35" ht="12.75">
      <c r="A35" s="80" t="s">
        <v>64</v>
      </c>
    </row>
    <row r="36" spans="1:6" ht="12.75">
      <c r="A36" s="79"/>
      <c r="B36" s="81"/>
      <c r="C36" s="82" t="s">
        <v>12</v>
      </c>
      <c r="D36" s="81"/>
      <c r="E36" s="81"/>
      <c r="F36" s="83"/>
    </row>
    <row r="37" spans="1:6" ht="12.75">
      <c r="A37" s="82" t="s">
        <v>15</v>
      </c>
      <c r="B37" s="82" t="s">
        <v>39</v>
      </c>
      <c r="C37" s="79" t="s">
        <v>22</v>
      </c>
      <c r="D37" s="84" t="s">
        <v>23</v>
      </c>
      <c r="E37" s="84" t="s">
        <v>65</v>
      </c>
      <c r="F37" s="85" t="s">
        <v>59</v>
      </c>
    </row>
    <row r="38" spans="1:6" ht="12.75">
      <c r="A38" s="79" t="s">
        <v>17</v>
      </c>
      <c r="B38" s="79" t="s">
        <v>41</v>
      </c>
      <c r="C38" s="86"/>
      <c r="D38" s="87">
        <v>1</v>
      </c>
      <c r="E38" s="87">
        <v>1</v>
      </c>
      <c r="F38" s="88">
        <v>2</v>
      </c>
    </row>
    <row r="39" spans="1:6" ht="12.75">
      <c r="A39" s="89"/>
      <c r="B39" s="90" t="s">
        <v>40</v>
      </c>
      <c r="C39" s="91"/>
      <c r="D39" s="70">
        <v>0</v>
      </c>
      <c r="E39" s="70">
        <v>0</v>
      </c>
      <c r="F39" s="92">
        <v>0</v>
      </c>
    </row>
    <row r="40" spans="1:6" ht="12.75">
      <c r="A40" s="79" t="s">
        <v>66</v>
      </c>
      <c r="B40" s="79" t="s">
        <v>41</v>
      </c>
      <c r="C40" s="86">
        <v>0</v>
      </c>
      <c r="D40" s="87"/>
      <c r="E40" s="87"/>
      <c r="F40" s="88">
        <v>0</v>
      </c>
    </row>
    <row r="41" spans="1:6" ht="12.75">
      <c r="A41" s="89"/>
      <c r="B41" s="90" t="s">
        <v>40</v>
      </c>
      <c r="C41" s="91">
        <v>1</v>
      </c>
      <c r="D41" s="70"/>
      <c r="E41" s="70"/>
      <c r="F41" s="92">
        <v>1</v>
      </c>
    </row>
    <row r="42" spans="1:6" ht="12.75">
      <c r="A42" s="79" t="s">
        <v>43</v>
      </c>
      <c r="B42" s="81"/>
      <c r="C42" s="86">
        <v>0</v>
      </c>
      <c r="D42" s="87">
        <v>1</v>
      </c>
      <c r="E42" s="87">
        <v>1</v>
      </c>
      <c r="F42" s="88">
        <v>2</v>
      </c>
    </row>
    <row r="43" spans="1:6" ht="12.75">
      <c r="A43" s="93" t="s">
        <v>42</v>
      </c>
      <c r="B43" s="94"/>
      <c r="C43" s="95">
        <v>1</v>
      </c>
      <c r="D43" s="121">
        <v>0</v>
      </c>
      <c r="E43" s="121">
        <v>0</v>
      </c>
      <c r="F43" s="96">
        <v>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37">
      <selection activeCell="A33" sqref="A1:IV16384"/>
    </sheetView>
  </sheetViews>
  <sheetFormatPr defaultColWidth="9.140625" defaultRowHeight="12.75"/>
  <cols>
    <col min="20" max="20" width="12.00390625" style="0" customWidth="1"/>
    <col min="21" max="21" width="3.00390625" style="0" customWidth="1"/>
  </cols>
  <sheetData/>
  <sheetProtection/>
  <printOptions/>
  <pageMargins left="0.747916666666667" right="0.747916666666667" top="0.984027777777778" bottom="0.984027777777778" header="0.511805555555556" footer="0.511805555555556"/>
  <pageSetup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E44" sqref="A1:IV1638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Flood, Randy J.</cp:lastModifiedBy>
  <cp:lastPrinted>2019-03-25T19:11:00Z</cp:lastPrinted>
  <dcterms:created xsi:type="dcterms:W3CDTF">1998-01-15T00:06:45Z</dcterms:created>
  <dcterms:modified xsi:type="dcterms:W3CDTF">2019-04-23T14:14:46Z</dcterms:modified>
  <cp:category/>
  <cp:version/>
  <cp:contentType/>
  <cp:contentStatus/>
  <cp:revision>5</cp:revision>
</cp:coreProperties>
</file>