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5" yWindow="65386" windowWidth="14430" windowHeight="13620" tabRatio="927" activeTab="0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8"/>
  </externalReferences>
  <definedNames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1">'Main Data'!$A$2:$P$4</definedName>
    <definedName name="Excel_BuiltIn_Print_Area_1_1">'Main Data'!$A$2:$P$47</definedName>
    <definedName name="Excel_BuiltIn_Print_Area_1_1_1">'Main Data'!$A$2:$P$69</definedName>
    <definedName name="Excel_BuiltIn_Print_Area_1_1_11">'Main Data'!$A$2:$P$70</definedName>
    <definedName name="Excel_BuiltIn_Print_Area_1_1_1_1">'Main Data'!$A$2:$P$55</definedName>
    <definedName name="Excel_BuiltIn_Print_Area_41">'Faults Per Day'!$A$1:$W$67</definedName>
    <definedName name="Faults_Day_of_Delivered_Beam">'Main Data'!$D$98</definedName>
    <definedName name="Mean_Time_Between_Faults">'Main Data'!$D$97</definedName>
    <definedName name="Number_of_Fills">'Main Data'!$D$90</definedName>
    <definedName name="Number_of_Intentional_Dumps">'Main Data'!$D$89</definedName>
    <definedName name="Number_of_Lost_Fills">'Main Data'!$D$88</definedName>
    <definedName name="_xlnm.Print_Area" localSheetId="3">'Faults Per Day'!$A$1:$AC$81</definedName>
    <definedName name="_xlnm.Print_Area" localSheetId="0">'Main Data'!$A$2:$P$56</definedName>
    <definedName name="_xlnm.Print_Titles" localSheetId="0">'Main Data'!$4:$4</definedName>
    <definedName name="Refill_Time">'Main Data'!$D$1</definedName>
    <definedName name="Total_Schedule_Run_Length">'Main Data'!$D$94</definedName>
    <definedName name="Total_System_Downtime">'Main Data'!$K$90</definedName>
    <definedName name="Total_User_Beam">'Main Data'!$D$92</definedName>
    <definedName name="Total_User_Downtime">'Main Data'!$D$93</definedName>
    <definedName name="User_Beam_Days">'Main Data'!$E$92</definedName>
    <definedName name="X_ray_Availability">'Main Data'!$D$99</definedName>
  </definedNames>
  <calcPr fullCalcOnLoad="1"/>
  <pivotCaches>
    <pivotCache cacheId="7" r:id="rId5"/>
  </pivotCaches>
</workbook>
</file>

<file path=xl/sharedStrings.xml><?xml version="1.0" encoding="utf-8"?>
<sst xmlns="http://schemas.openxmlformats.org/spreadsheetml/2006/main" count="225" uniqueCount="89">
  <si>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</si>
  <si>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</si>
  <si>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</si>
  <si>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</si>
  <si>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</si>
  <si>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</si>
  <si>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</si>
  <si>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</si>
  <si>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</si>
  <si>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</si>
  <si>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</si>
  <si>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</si>
  <si>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</si>
  <si>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</si>
  <si>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</si>
  <si>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</si>
  <si>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</si>
  <si>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</si>
  <si>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</si>
  <si>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</si>
  <si>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</si>
  <si>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>Scheduled</t>
  </si>
  <si>
    <t>PS</t>
  </si>
  <si>
    <t>RF</t>
  </si>
  <si>
    <t>MOM</t>
  </si>
  <si>
    <t>Number of Lost Fills</t>
  </si>
  <si>
    <t>Downtime</t>
  </si>
  <si>
    <t>Number of Intentional Dumps</t>
  </si>
  <si>
    <t>User</t>
  </si>
  <si>
    <t>Number of Fills</t>
  </si>
  <si>
    <t>SL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</si>
  <si>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</si>
  <si>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</si>
  <si>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</si>
  <si>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</si>
  <si>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</si>
  <si>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</si>
  <si>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</si>
  <si>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</si>
  <si>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</si>
  <si>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</si>
  <si>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Sum - Inhibits Beam</t>
  </si>
  <si>
    <t>Sum - Store Lost</t>
  </si>
  <si>
    <t>Total Sum - Inhibits Beam</t>
  </si>
  <si>
    <t>Total Sum - Store Lost</t>
  </si>
  <si>
    <t>Diag</t>
  </si>
  <si>
    <t>Controls</t>
  </si>
  <si>
    <t>Accelerator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</si>
  <si>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</si>
  <si>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</si>
  <si>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</si>
  <si>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</si>
  <si>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</si>
  <si>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</si>
  <si>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</si>
  <si>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</si>
  <si>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</si>
  <si>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</si>
  <si>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</si>
  <si>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</si>
  <si>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</si>
  <si>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Budget</t>
  </si>
  <si>
    <t>Hours for Run</t>
  </si>
  <si>
    <t xml:space="preserve">Faults </t>
  </si>
  <si>
    <t>Filter</t>
  </si>
  <si>
    <t>SI</t>
  </si>
  <si>
    <t>Sum of System Length</t>
  </si>
  <si>
    <t>Int Dump: End of Period</t>
  </si>
  <si>
    <t>UNK</t>
  </si>
  <si>
    <t>AOP</t>
  </si>
  <si>
    <t>Under investigation</t>
  </si>
  <si>
    <t>S38 RF Cav Vac [RF]</t>
  </si>
  <si>
    <t>RF4 SCR H2O flt [RF]</t>
  </si>
  <si>
    <t>S33A:Q2 PS flt [PS]</t>
  </si>
  <si>
    <t>PW pump 30B glitch [MOM]</t>
  </si>
  <si>
    <t>Adj P0 feedback [AOP]</t>
  </si>
  <si>
    <t>Failed bunch removal [AOP]</t>
  </si>
  <si>
    <t>Downtime for Run 2018-3</t>
  </si>
  <si>
    <t>Run 2018-3</t>
  </si>
  <si>
    <t>RF-4 power monitor trip [RF]</t>
  </si>
  <si>
    <t>S13B:Q5 trip [PS]</t>
  </si>
  <si>
    <t>Power Event [OTH]</t>
  </si>
  <si>
    <t>ComEd</t>
  </si>
  <si>
    <t>BPLD trip [UNK]</t>
  </si>
  <si>
    <t>Inhibits beam to user</t>
  </si>
  <si>
    <t>33ID EPS trip [SI]</t>
  </si>
  <si>
    <t>Water flow fault S39/40</t>
  </si>
  <si>
    <t>S38, C2 vacuum [RF]</t>
  </si>
  <si>
    <t>S11B:Q3 PS I=0 [PS]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</si>
</sst>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[$-409]dddd\,\ mmmm\ dd\,\ 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sz val="13.9"/>
      <color indexed="8"/>
      <name val="Arial"/>
      <family val="0"/>
    </font>
    <font>
      <sz val="23"/>
      <color indexed="8"/>
      <name val="Arial"/>
      <family val="0"/>
    </font>
    <font>
      <sz val="13.35"/>
      <color indexed="8"/>
      <name val="Arial"/>
      <family val="0"/>
    </font>
    <font>
      <sz val="12"/>
      <color indexed="8"/>
      <name val="Arial"/>
      <family val="0"/>
    </font>
    <font>
      <sz val="39.9"/>
      <color indexed="8"/>
      <name val="Arial"/>
      <family val="0"/>
    </font>
    <font>
      <sz val="9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.8"/>
      <color indexed="8"/>
      <name val="Arial"/>
      <family val="0"/>
    </font>
    <font>
      <b/>
      <sz val="17.1"/>
      <color indexed="8"/>
      <name val="Arial"/>
      <family val="0"/>
    </font>
    <font>
      <b/>
      <sz val="39.9"/>
      <color indexed="8"/>
      <name val="Arial"/>
      <family val="0"/>
    </font>
    <font>
      <b/>
      <sz val="44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textRotation="90"/>
    </xf>
    <xf numFmtId="0" fontId="1" fillId="0" borderId="11" xfId="0" applyFont="1" applyFill="1" applyBorder="1" applyAlignment="1">
      <alignment horizontal="center" textRotation="90"/>
    </xf>
    <xf numFmtId="0" fontId="0" fillId="0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2" fontId="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17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44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7" fontId="2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69" fontId="0" fillId="0" borderId="0" xfId="63" applyNumberFormat="1" applyFont="1" applyFill="1" applyBorder="1" applyAlignment="1" applyProtection="1">
      <alignment horizontal="right"/>
      <protection/>
    </xf>
    <xf numFmtId="170" fontId="2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9" fontId="0" fillId="0" borderId="0" xfId="63" applyNumberFormat="1" applyFont="1" applyFill="1" applyBorder="1" applyAlignment="1" applyProtection="1">
      <alignment vertical="top" wrapText="1"/>
      <protection locked="0"/>
    </xf>
    <xf numFmtId="2" fontId="0" fillId="0" borderId="0" xfId="63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" fillId="0" borderId="0" xfId="0" applyNumberFormat="1" applyFont="1" applyFill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2" fontId="0" fillId="33" borderId="18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8" xfId="0" applyBorder="1" applyAlignment="1">
      <alignment/>
    </xf>
    <xf numFmtId="2" fontId="0" fillId="0" borderId="29" xfId="0" applyNumberFormat="1" applyBorder="1" applyAlignment="1">
      <alignment/>
    </xf>
    <xf numFmtId="0" fontId="0" fillId="0" borderId="0" xfId="0" applyNumberFormat="1" applyBorder="1" applyAlignment="1" applyProtection="1">
      <alignment/>
      <protection locked="0"/>
    </xf>
    <xf numFmtId="0" fontId="1" fillId="0" borderId="22" xfId="0" applyNumberFormat="1" applyFont="1" applyFill="1" applyBorder="1" applyAlignment="1">
      <alignment horizontal="center" textRotation="90"/>
    </xf>
    <xf numFmtId="164" fontId="1" fillId="0" borderId="22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 textRotation="90"/>
    </xf>
    <xf numFmtId="0" fontId="1" fillId="0" borderId="22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textRotation="90"/>
    </xf>
    <xf numFmtId="2" fontId="1" fillId="0" borderId="22" xfId="0" applyNumberFormat="1" applyFont="1" applyFill="1" applyBorder="1" applyAlignment="1">
      <alignment horizontal="center" textRotation="90" wrapText="1"/>
    </xf>
    <xf numFmtId="165" fontId="1" fillId="0" borderId="22" xfId="0" applyNumberFormat="1" applyFont="1" applyFill="1" applyBorder="1" applyAlignment="1">
      <alignment horizontal="center" textRotation="90" wrapText="1"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 locked="0"/>
    </xf>
    <xf numFmtId="0" fontId="0" fillId="34" borderId="25" xfId="0" applyNumberFormat="1" applyFont="1" applyFill="1" applyBorder="1" applyAlignment="1">
      <alignment horizontal="right"/>
    </xf>
    <xf numFmtId="164" fontId="0" fillId="34" borderId="30" xfId="0" applyNumberFormat="1" applyFont="1" applyFill="1" applyBorder="1" applyAlignment="1">
      <alignment horizontal="left"/>
    </xf>
    <xf numFmtId="2" fontId="0" fillId="35" borderId="25" xfId="0" applyNumberFormat="1" applyFont="1" applyFill="1" applyBorder="1" applyAlignment="1">
      <alignment horizontal="right"/>
    </xf>
    <xf numFmtId="164" fontId="0" fillId="34" borderId="25" xfId="0" applyNumberFormat="1" applyFont="1" applyFill="1" applyBorder="1" applyAlignment="1">
      <alignment/>
    </xf>
    <xf numFmtId="0" fontId="0" fillId="34" borderId="25" xfId="0" applyNumberFormat="1" applyFont="1" applyFill="1" applyBorder="1" applyAlignment="1">
      <alignment horizontal="center"/>
    </xf>
    <xf numFmtId="164" fontId="0" fillId="34" borderId="25" xfId="0" applyNumberFormat="1" applyFont="1" applyFill="1" applyBorder="1" applyAlignment="1">
      <alignment horizontal="center"/>
    </xf>
    <xf numFmtId="164" fontId="0" fillId="34" borderId="25" xfId="0" applyNumberFormat="1" applyFont="1" applyFill="1" applyBorder="1" applyAlignment="1">
      <alignment horizontal="left"/>
    </xf>
    <xf numFmtId="0" fontId="0" fillId="34" borderId="25" xfId="0" applyNumberFormat="1" applyFont="1" applyFill="1" applyBorder="1" applyAlignment="1" applyProtection="1">
      <alignment/>
      <protection/>
    </xf>
    <xf numFmtId="0" fontId="0" fillId="34" borderId="25" xfId="0" applyNumberFormat="1" applyFont="1" applyFill="1" applyBorder="1" applyAlignment="1" applyProtection="1">
      <alignment/>
      <protection locked="0"/>
    </xf>
    <xf numFmtId="0" fontId="0" fillId="34" borderId="25" xfId="0" applyNumberFormat="1" applyFont="1" applyFill="1" applyBorder="1" applyAlignment="1" applyProtection="1">
      <alignment horizontal="left"/>
      <protection/>
    </xf>
    <xf numFmtId="0" fontId="0" fillId="0" borderId="31" xfId="0" applyNumberFormat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38" borderId="18" xfId="0" applyNumberFormat="1" applyFont="1" applyFill="1" applyBorder="1" applyAlignment="1">
      <alignment horizontal="right"/>
    </xf>
    <xf numFmtId="164" fontId="0" fillId="38" borderId="18" xfId="0" applyNumberFormat="1" applyFont="1" applyFill="1" applyBorder="1" applyAlignment="1">
      <alignment/>
    </xf>
    <xf numFmtId="0" fontId="0" fillId="38" borderId="18" xfId="0" applyNumberFormat="1" applyFont="1" applyFill="1" applyBorder="1" applyAlignment="1">
      <alignment horizontal="center"/>
    </xf>
    <xf numFmtId="164" fontId="0" fillId="38" borderId="18" xfId="0" applyNumberFormat="1" applyFont="1" applyFill="1" applyBorder="1" applyAlignment="1">
      <alignment horizontal="center"/>
    </xf>
    <xf numFmtId="0" fontId="0" fillId="38" borderId="18" xfId="0" applyNumberFormat="1" applyFont="1" applyFill="1" applyBorder="1" applyAlignment="1" applyProtection="1">
      <alignment/>
      <protection/>
    </xf>
    <xf numFmtId="0" fontId="0" fillId="38" borderId="18" xfId="0" applyNumberFormat="1" applyFont="1" applyFill="1" applyBorder="1" applyAlignment="1" applyProtection="1">
      <alignment/>
      <protection locked="0"/>
    </xf>
    <xf numFmtId="0" fontId="0" fillId="38" borderId="18" xfId="0" applyNumberFormat="1" applyFont="1" applyFill="1" applyBorder="1" applyAlignment="1" applyProtection="1">
      <alignment horizontal="left"/>
      <protection/>
    </xf>
    <xf numFmtId="0" fontId="0" fillId="39" borderId="18" xfId="0" applyNumberFormat="1" applyFont="1" applyFill="1" applyBorder="1" applyAlignment="1">
      <alignment horizontal="right"/>
    </xf>
    <xf numFmtId="164" fontId="0" fillId="39" borderId="18" xfId="0" applyNumberFormat="1" applyFont="1" applyFill="1" applyBorder="1" applyAlignment="1">
      <alignment/>
    </xf>
    <xf numFmtId="0" fontId="0" fillId="39" borderId="18" xfId="0" applyNumberFormat="1" applyFont="1" applyFill="1" applyBorder="1" applyAlignment="1">
      <alignment horizontal="center"/>
    </xf>
    <xf numFmtId="164" fontId="0" fillId="39" borderId="18" xfId="0" applyNumberFormat="1" applyFont="1" applyFill="1" applyBorder="1" applyAlignment="1">
      <alignment horizontal="center"/>
    </xf>
    <xf numFmtId="0" fontId="0" fillId="39" borderId="18" xfId="0" applyNumberFormat="1" applyFont="1" applyFill="1" applyBorder="1" applyAlignment="1" applyProtection="1">
      <alignment/>
      <protection/>
    </xf>
    <xf numFmtId="0" fontId="0" fillId="39" borderId="18" xfId="0" applyNumberFormat="1" applyFont="1" applyFill="1" applyBorder="1" applyAlignment="1" applyProtection="1">
      <alignment/>
      <protection locked="0"/>
    </xf>
    <xf numFmtId="0" fontId="0" fillId="39" borderId="18" xfId="0" applyNumberFormat="1" applyFont="1" applyFill="1" applyBorder="1" applyAlignment="1" applyProtection="1">
      <alignment horizontal="left"/>
      <protection/>
    </xf>
    <xf numFmtId="2" fontId="0" fillId="40" borderId="18" xfId="0" applyNumberFormat="1" applyFont="1" applyFill="1" applyBorder="1" applyAlignment="1">
      <alignment horizontal="right"/>
    </xf>
    <xf numFmtId="2" fontId="0" fillId="0" borderId="28" xfId="0" applyNumberFormat="1" applyBorder="1" applyAlignment="1">
      <alignment/>
    </xf>
    <xf numFmtId="2" fontId="1" fillId="0" borderId="0" xfId="0" applyNumberFormat="1" applyFont="1" applyAlignment="1" applyProtection="1">
      <alignment/>
      <protection locked="0"/>
    </xf>
    <xf numFmtId="2" fontId="0" fillId="41" borderId="18" xfId="0" applyNumberFormat="1" applyFont="1" applyFill="1" applyBorder="1" applyAlignment="1">
      <alignment horizontal="right"/>
    </xf>
    <xf numFmtId="2" fontId="1" fillId="34" borderId="25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/>
    </xf>
    <xf numFmtId="0" fontId="0" fillId="0" borderId="17" xfId="0" applyFont="1" applyBorder="1" applyAlignment="1">
      <alignment horizontal="left"/>
    </xf>
    <xf numFmtId="2" fontId="0" fillId="0" borderId="31" xfId="0" applyNumberFormat="1" applyBorder="1" applyAlignment="1">
      <alignment/>
    </xf>
    <xf numFmtId="0" fontId="0" fillId="42" borderId="18" xfId="0" applyNumberFormat="1" applyFont="1" applyFill="1" applyBorder="1" applyAlignment="1">
      <alignment horizontal="right"/>
    </xf>
    <xf numFmtId="164" fontId="0" fillId="42" borderId="18" xfId="0" applyNumberFormat="1" applyFont="1" applyFill="1" applyBorder="1" applyAlignment="1">
      <alignment horizontal="left"/>
    </xf>
    <xf numFmtId="164" fontId="0" fillId="42" borderId="18" xfId="0" applyNumberFormat="1" applyFont="1" applyFill="1" applyBorder="1" applyAlignment="1">
      <alignment/>
    </xf>
    <xf numFmtId="0" fontId="0" fillId="42" borderId="18" xfId="0" applyNumberFormat="1" applyFont="1" applyFill="1" applyBorder="1" applyAlignment="1">
      <alignment horizontal="center"/>
    </xf>
    <xf numFmtId="164" fontId="0" fillId="42" borderId="18" xfId="0" applyNumberFormat="1" applyFont="1" applyFill="1" applyBorder="1" applyAlignment="1">
      <alignment horizontal="center"/>
    </xf>
    <xf numFmtId="0" fontId="0" fillId="42" borderId="18" xfId="0" applyNumberFormat="1" applyFont="1" applyFill="1" applyBorder="1" applyAlignment="1" applyProtection="1">
      <alignment/>
      <protection/>
    </xf>
    <xf numFmtId="0" fontId="0" fillId="42" borderId="18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>
      <alignment horizontal="right"/>
    </xf>
    <xf numFmtId="2" fontId="0" fillId="0" borderId="18" xfId="0" applyNumberFormat="1" applyFont="1" applyFill="1" applyBorder="1" applyAlignment="1">
      <alignment horizontal="right"/>
    </xf>
    <xf numFmtId="0" fontId="0" fillId="0" borderId="18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 horizontal="left"/>
      <protection/>
    </xf>
    <xf numFmtId="171" fontId="0" fillId="0" borderId="0" xfId="0" applyNumberFormat="1" applyBorder="1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numFmt numFmtId="2" formatCode="0.00"/>
      <border/>
    </dxf>
    <dxf>
      <font>
        <b val="0"/>
        <i val="0"/>
        <u val="none"/>
        <strike val="0"/>
        <sz val="10"/>
        <name val="Arial"/>
        <color auto="1"/>
      </font>
      <alignment horizontal="left" vertical="bottom" textRotation="0" wrapText="1" indent="0" shrinkToFit="1" readingOrder="0"/>
      <border/>
    </dxf>
    <dxf>
      <font>
        <b val="0"/>
        <i val="0"/>
        <u val="none"/>
        <strike val="0"/>
        <sz val="10"/>
        <name val="Arial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2018-3 Downtime by System 
October 2 - December 17, 2018
</a:t>
            </a: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Scheduled User Time =  1561  hours     
User downtime = 34.63 hours</a:t>
            </a:r>
          </a:p>
        </c:rich>
      </c:tx>
      <c:layout>
        <c:manualLayout>
          <c:xMode val="factor"/>
          <c:yMode val="factor"/>
          <c:x val="-0.000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9"/>
          <c:w val="0.863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Stats!$A$15</c:f>
              <c:strCache>
                <c:ptCount val="1"/>
                <c:pt idx="0">
                  <c:v>Run 2018-3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Stats!$B$13:$Q$13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Water/ME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Stats!$B$15:$Q$15</c:f>
              <c:numCache>
                <c:ptCount val="16"/>
                <c:pt idx="0">
                  <c:v>0.012716207559204683</c:v>
                </c:pt>
                <c:pt idx="1">
                  <c:v>0</c:v>
                </c:pt>
                <c:pt idx="2">
                  <c:v>0.005487935084337697</c:v>
                </c:pt>
                <c:pt idx="4">
                  <c:v>0.00045910740982231605</c:v>
                </c:pt>
                <c:pt idx="5">
                  <c:v>0</c:v>
                </c:pt>
                <c:pt idx="6">
                  <c:v>0.002092675635274046</c:v>
                </c:pt>
                <c:pt idx="7">
                  <c:v>0.0003736920777155226</c:v>
                </c:pt>
                <c:pt idx="8">
                  <c:v>0</c:v>
                </c:pt>
                <c:pt idx="10">
                  <c:v>0</c:v>
                </c:pt>
                <c:pt idx="11">
                  <c:v>0.0003523382447447573</c:v>
                </c:pt>
                <c:pt idx="13">
                  <c:v>0</c:v>
                </c:pt>
                <c:pt idx="14">
                  <c:v>0</c:v>
                </c:pt>
                <c:pt idx="15">
                  <c:v>0.0007046764893776484</c:v>
                </c:pt>
              </c:numCache>
            </c:numRef>
          </c:val>
        </c:ser>
        <c:ser>
          <c:idx val="1"/>
          <c:order val="1"/>
          <c:tx>
            <c:strRef>
              <c:f>Stats!$A$16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Stats!$B$13:$Q$13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Water/ME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Stats!$B$16:$Q$16</c:f>
              <c:numCache>
                <c:ptCount val="16"/>
                <c:pt idx="0">
                  <c:v>0.0054</c:v>
                </c:pt>
                <c:pt idx="1">
                  <c:v>0.0012000000000000001</c:v>
                </c:pt>
                <c:pt idx="2">
                  <c:v>0.0054</c:v>
                </c:pt>
                <c:pt idx="3">
                  <c:v>0.003</c:v>
                </c:pt>
                <c:pt idx="4">
                  <c:v>0.0028</c:v>
                </c:pt>
                <c:pt idx="5">
                  <c:v>0.0028</c:v>
                </c:pt>
                <c:pt idx="6">
                  <c:v>0.0036000000000000003</c:v>
                </c:pt>
                <c:pt idx="7">
                  <c:v>0.0012000000000000001</c:v>
                </c:pt>
                <c:pt idx="8">
                  <c:v>0</c:v>
                </c:pt>
                <c:pt idx="9">
                  <c:v>0.0006000000000000001</c:v>
                </c:pt>
                <c:pt idx="10">
                  <c:v>0.0006000000000000001</c:v>
                </c:pt>
                <c:pt idx="11">
                  <c:v>0.0006000000000000001</c:v>
                </c:pt>
                <c:pt idx="12">
                  <c:v>0.0006000000000000001</c:v>
                </c:pt>
                <c:pt idx="13">
                  <c:v>0.0018000000000000002</c:v>
                </c:pt>
                <c:pt idx="14">
                  <c:v>0.0012000000000000001</c:v>
                </c:pt>
                <c:pt idx="15">
                  <c:v>0.0006000000000000001</c:v>
                </c:pt>
              </c:numCache>
            </c:numRef>
          </c:val>
        </c:ser>
        <c:axId val="32024070"/>
        <c:axId val="19781175"/>
      </c:barChart>
      <c:catAx>
        <c:axId val="32024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81175"/>
        <c:crosses val="autoZero"/>
        <c:auto val="1"/>
        <c:lblOffset val="100"/>
        <c:tickLblSkip val="1"/>
        <c:noMultiLvlLbl val="0"/>
      </c:catAx>
      <c:valAx>
        <c:axId val="19781175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5"/>
              <c:y val="0.08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24070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"/>
          <c:y val="0.50875"/>
          <c:w val="0.20925"/>
          <c:h val="0.02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2018-3 Faults Per Day By System</a:t>
            </a:r>
          </a:p>
        </c:rich>
      </c:tx>
      <c:layout>
        <c:manualLayout>
          <c:xMode val="factor"/>
          <c:yMode val="factor"/>
          <c:x val="-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675"/>
          <c:w val="0.938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Stats!$A$22</c:f>
              <c:strCache>
                <c:ptCount val="1"/>
                <c:pt idx="0">
                  <c:v>Run 2018-3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Stats!$B$21:$Q$21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MOM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Stats!$B$22:$Q$22</c:f>
              <c:numCache>
                <c:ptCount val="16"/>
                <c:pt idx="0">
                  <c:v>0.09434168286343927</c:v>
                </c:pt>
                <c:pt idx="1">
                  <c:v>0</c:v>
                </c:pt>
                <c:pt idx="2">
                  <c:v>0.04717084143171964</c:v>
                </c:pt>
                <c:pt idx="3">
                  <c:v>0</c:v>
                </c:pt>
                <c:pt idx="4">
                  <c:v>0.01572361381057321</c:v>
                </c:pt>
                <c:pt idx="5">
                  <c:v>0</c:v>
                </c:pt>
                <c:pt idx="6">
                  <c:v>0.01572361381057321</c:v>
                </c:pt>
                <c:pt idx="7">
                  <c:v>0.03144722762114642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0.01572361381057321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0.03144722762114642</c:v>
                </c:pt>
              </c:numCache>
            </c:numRef>
          </c:val>
        </c:ser>
        <c:ser>
          <c:idx val="1"/>
          <c:order val="1"/>
          <c:tx>
            <c:strRef>
              <c:f>Stats!$A$23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Stats!$B$21:$Q$21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MOM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Stats!$B$23:$Q$23</c:f>
              <c:numCache>
                <c:ptCount val="16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0.035</c:v>
                </c:pt>
                <c:pt idx="5">
                  <c:v>0.02</c:v>
                </c:pt>
                <c:pt idx="6">
                  <c:v>0.06</c:v>
                </c:pt>
                <c:pt idx="7">
                  <c:v>0.02</c:v>
                </c:pt>
                <c:pt idx="8">
                  <c:v>0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0.02</c:v>
                </c:pt>
                <c:pt idx="14">
                  <c:v>0.01</c:v>
                </c:pt>
                <c:pt idx="15">
                  <c:v>0.02</c:v>
                </c:pt>
              </c:numCache>
            </c:numRef>
          </c:val>
        </c:ser>
        <c:axId val="43812848"/>
        <c:axId val="58771313"/>
      </c:barChart>
      <c:catAx>
        <c:axId val="438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71313"/>
        <c:crossesAt val="0"/>
        <c:auto val="1"/>
        <c:lblOffset val="100"/>
        <c:tickLblSkip val="1"/>
        <c:noMultiLvlLbl val="0"/>
      </c:catAx>
      <c:valAx>
        <c:axId val="58771313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9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12848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55"/>
          <c:y val="0.97725"/>
          <c:w val="0.11325"/>
          <c:h val="0.01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88</xdr:row>
      <xdr:rowOff>76200</xdr:rowOff>
    </xdr:from>
    <xdr:to>
      <xdr:col>11</xdr:col>
      <xdr:colOff>85725</xdr:colOff>
      <xdr:row>89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896350" y="16144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45</xdr:row>
      <xdr:rowOff>76200</xdr:rowOff>
    </xdr:from>
    <xdr:to>
      <xdr:col>11</xdr:col>
      <xdr:colOff>47625</xdr:colOff>
      <xdr:row>46</xdr:row>
      <xdr:rowOff>95250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867775" y="9001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123825</xdr:colOff>
      <xdr:row>71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12506325" cy="1165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57150</xdr:rowOff>
    </xdr:from>
    <xdr:to>
      <xdr:col>28</xdr:col>
      <xdr:colOff>276225</xdr:colOff>
      <xdr:row>78</xdr:row>
      <xdr:rowOff>104775</xdr:rowOff>
    </xdr:to>
    <xdr:graphicFrame>
      <xdr:nvGraphicFramePr>
        <xdr:cNvPr id="1" name="Chart 1"/>
        <xdr:cNvGraphicFramePr/>
      </xdr:nvGraphicFramePr>
      <xdr:xfrm>
        <a:off x="0" y="542925"/>
        <a:ext cx="17345025" cy="1219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ICS\Public\2010\2010Fy\reliability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_2_"/>
      <sheetName val="Downtime chart"/>
      <sheetName val="Lost Stores FY chart"/>
      <sheetName val="summary"/>
    </sheetNames>
    <sheetDataSet>
      <sheetData sheetId="1">
        <row r="7">
          <cell r="B7">
            <v>0.0054</v>
          </cell>
          <cell r="F7">
            <v>0.12</v>
          </cell>
        </row>
        <row r="8">
          <cell r="B8">
            <v>0.0012000000000000001</v>
          </cell>
          <cell r="F8">
            <v>0.03</v>
          </cell>
        </row>
        <row r="9">
          <cell r="B9">
            <v>0.0054</v>
          </cell>
        </row>
        <row r="10">
          <cell r="B10">
            <v>0.003</v>
          </cell>
        </row>
        <row r="11">
          <cell r="B11">
            <v>0.0012000000000000001</v>
          </cell>
        </row>
        <row r="16">
          <cell r="B16">
            <v>0.0036000000000000003</v>
          </cell>
        </row>
        <row r="18">
          <cell r="B18">
            <v>0.0012000000000000001</v>
          </cell>
        </row>
        <row r="19">
          <cell r="B19">
            <v>0</v>
          </cell>
        </row>
        <row r="20">
          <cell r="B20">
            <v>0.0006000000000000001</v>
          </cell>
        </row>
        <row r="24">
          <cell r="B24">
            <v>0.0006000000000000001</v>
          </cell>
        </row>
        <row r="26">
          <cell r="B26">
            <v>0.0006000000000000001</v>
          </cell>
        </row>
        <row r="27">
          <cell r="B27">
            <v>0.0018000000000000002</v>
          </cell>
        </row>
        <row r="28">
          <cell r="B28">
            <v>0.0006000000000000001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T43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Blank="1" containsMixedTypes="0" count="18">
        <s v="UNK"/>
        <s v="RF"/>
        <m/>
        <s v="PS"/>
        <s v="MOM"/>
        <s v="AOP"/>
        <s v="ComEd"/>
        <s v="SI"/>
        <s v="MD"/>
        <s v="FMS"/>
        <s v="FMS-H2O"/>
        <s v="OTH"/>
        <s v="CTL"/>
        <s v="OPS"/>
        <s v="ESH"/>
        <s v="Rad"/>
        <s v="DIA"/>
        <s v="Weather"/>
      </sharedItems>
    </cacheField>
    <cacheField name="System">
      <sharedItems containsMixedTypes="0"/>
    </cacheField>
    <cacheField name="Group">
      <sharedItems containsBlank="1" containsMixedTypes="0" count="12">
        <s v="UNK"/>
        <s v="RF"/>
        <m/>
        <s v="PS"/>
        <s v="MOM"/>
        <s v="AOP"/>
        <s v="ComEd"/>
        <s v="SI"/>
        <s v="FMS"/>
        <s v="MD"/>
        <s v="CTL"/>
        <s v="DIA"/>
      </sharedItems>
    </cacheField>
    <cacheField name="Type">
      <sharedItems containsBlank="1" containsMixedTypes="0" count="4">
        <s v="Store Lost"/>
        <s v="Scheduled"/>
        <m/>
        <s v="Inhibits beam to user"/>
      </sharedItems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7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3">
        <item h="1" x="2"/>
        <item x="3"/>
        <item x="1"/>
        <item x="5"/>
        <item m="1" x="10"/>
        <item x="7"/>
        <item m="1" x="8"/>
        <item m="1" x="11"/>
        <item x="6"/>
        <item m="1" x="9"/>
        <item x="4"/>
        <item x="0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3">
    <i>
      <x/>
    </i>
    <i i="1">
      <x v="1"/>
    </i>
    <i i="2">
      <x v="2"/>
    </i>
  </rowItems>
  <colFields count="1">
    <field x="13"/>
  </colFields>
  <colItems count="8">
    <i>
      <x v="1"/>
    </i>
    <i>
      <x v="2"/>
    </i>
    <i>
      <x v="3"/>
    </i>
    <i>
      <x v="5"/>
    </i>
    <i>
      <x v="8"/>
    </i>
    <i>
      <x v="10"/>
    </i>
    <i>
      <x v="11"/>
    </i>
    <i t="grand">
      <x/>
    </i>
  </colItems>
  <dataFields count="3">
    <dataField name="Sum - Inhibits Beam" fld="18" baseField="0" baseItem="0"/>
    <dataField name="Sum - Store Lost" fld="16" baseField="0" baseItem="0"/>
    <dataField name="Sum of System Length" fld="10" baseField="0" baseItem="0"/>
  </dataFields>
  <formats count="5">
    <format dxfId="0">
      <pivotArea outline="0" fieldPosition="0">
        <references count="2">
          <reference field="4294967294" count="1">
            <x v="2"/>
          </reference>
          <reference field="13" count="1">
            <x v="1"/>
          </reference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3" count="1">
            <x v="2"/>
          </reference>
        </references>
      </pivotArea>
    </format>
    <format dxfId="0">
      <pivotArea outline="0" fieldPosition="0" axis="axisCol" field="13" grandCol="1">
        <references count="1">
          <reference field="4294967294" count="1">
            <x v="2"/>
          </reference>
        </references>
      </pivotArea>
    </format>
    <format dxfId="1">
      <pivotArea outline="0" fieldPosition="0" dataOnly="0" labelOnly="1" type="origin"/>
    </format>
    <format dxfId="2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7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J44" firstHeaderRow="1" firstDataRow="2" firstDataCol="2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18">
        <item h="1" x="2"/>
        <item m="1" x="10"/>
        <item x="3"/>
        <item x="1"/>
        <item m="1" x="14"/>
        <item x="7"/>
        <item m="1" x="16"/>
        <item m="1" x="12"/>
        <item x="4"/>
        <item m="1" x="9"/>
        <item x="0"/>
        <item m="1" x="13"/>
        <item x="6"/>
        <item m="1" x="17"/>
        <item m="1" x="11"/>
        <item m="1" x="15"/>
        <item x="5"/>
        <item m="1" x="8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1"/>
        <item x="2"/>
        <item x="0"/>
        <item x="3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14"/>
    <field x="-2"/>
  </rowFields>
  <rowItems count="6"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11"/>
  </colFields>
  <colItems count="8">
    <i>
      <x v="2"/>
    </i>
    <i>
      <x v="3"/>
    </i>
    <i>
      <x v="5"/>
    </i>
    <i>
      <x v="8"/>
    </i>
    <i>
      <x v="10"/>
    </i>
    <i>
      <x v="12"/>
    </i>
    <i>
      <x v="16"/>
    </i>
    <i t="grand">
      <x/>
    </i>
  </colItems>
  <dataFields count="2">
    <dataField name="Sum - Store Lost" fld="16" baseField="0" baseItem="0"/>
    <dataField name="Sum - Inhibits Beam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6"/>
  <sheetViews>
    <sheetView tabSelected="1" zoomScale="75" zoomScaleNormal="75" workbookViewId="0" topLeftCell="A1">
      <selection activeCell="L20" sqref="L20:N20"/>
    </sheetView>
  </sheetViews>
  <sheetFormatPr defaultColWidth="9.00390625" defaultRowHeight="12.75"/>
  <cols>
    <col min="1" max="1" width="6.7109375" style="1" customWidth="1"/>
    <col min="2" max="2" width="15.7109375" style="2" customWidth="1"/>
    <col min="3" max="3" width="16.57421875" style="2" customWidth="1"/>
    <col min="4" max="4" width="9.28125" style="3" customWidth="1"/>
    <col min="5" max="5" width="27.140625" style="4" customWidth="1"/>
    <col min="6" max="6" width="9.28125" style="5" customWidth="1"/>
    <col min="7" max="7" width="3.28125" style="6" customWidth="1"/>
    <col min="8" max="8" width="14.28125" style="7" customWidth="1"/>
    <col min="9" max="9" width="15.8515625" style="7" customWidth="1"/>
    <col min="10" max="10" width="7.57421875" style="3" customWidth="1"/>
    <col min="11" max="11" width="7.7109375" style="8" customWidth="1"/>
    <col min="12" max="12" width="11.28125" style="9" customWidth="1"/>
    <col min="13" max="13" width="13.140625" style="10" customWidth="1"/>
    <col min="14" max="14" width="11.28125" style="10" customWidth="1"/>
    <col min="15" max="15" width="21.57421875" style="9" customWidth="1"/>
    <col min="16" max="16" width="68.140625" style="11" customWidth="1"/>
    <col min="17" max="19" width="5.7109375" style="12" customWidth="1"/>
    <col min="20" max="16384" width="9.0039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6.25">
      <c r="A2" s="176" t="s">
        <v>77</v>
      </c>
      <c r="B2" s="176"/>
      <c r="C2" s="176"/>
      <c r="D2" s="176"/>
      <c r="E2" s="176"/>
      <c r="F2" s="176"/>
      <c r="G2" s="176"/>
      <c r="H2" s="176"/>
      <c r="I2" s="176"/>
      <c r="J2" s="25"/>
      <c r="K2" s="25"/>
      <c r="L2" s="26"/>
      <c r="M2" s="27"/>
      <c r="N2" s="27"/>
      <c r="O2" s="26"/>
      <c r="P2" s="23"/>
    </row>
    <row r="3" spans="1:20" s="30" customFormat="1" ht="20.25" customHeight="1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0" s="30" customFormat="1" ht="66.75" customHeight="1">
      <c r="A4" s="115" t="s">
        <v>3</v>
      </c>
      <c r="B4" s="116" t="s">
        <v>4</v>
      </c>
      <c r="C4" s="116" t="s">
        <v>5</v>
      </c>
      <c r="D4" s="117" t="s">
        <v>6</v>
      </c>
      <c r="E4" s="118" t="s">
        <v>7</v>
      </c>
      <c r="F4" s="115" t="s">
        <v>8</v>
      </c>
      <c r="G4" s="119" t="s">
        <v>9</v>
      </c>
      <c r="H4" s="116" t="s">
        <v>4</v>
      </c>
      <c r="I4" s="116" t="s">
        <v>5</v>
      </c>
      <c r="J4" s="120" t="s">
        <v>10</v>
      </c>
      <c r="K4" s="121" t="s">
        <v>11</v>
      </c>
      <c r="L4" s="122" t="s">
        <v>12</v>
      </c>
      <c r="M4" s="123" t="s">
        <v>13</v>
      </c>
      <c r="N4" s="123" t="s">
        <v>14</v>
      </c>
      <c r="O4" s="122" t="s">
        <v>15</v>
      </c>
      <c r="P4" s="31" t="s">
        <v>16</v>
      </c>
      <c r="Q4" s="32" t="s">
        <v>17</v>
      </c>
      <c r="R4" s="32" t="s">
        <v>18</v>
      </c>
      <c r="S4" s="32" t="s">
        <v>19</v>
      </c>
      <c r="T4" s="33" t="s">
        <v>20</v>
      </c>
    </row>
    <row r="5" spans="1:23" s="136" customFormat="1" ht="15.75" customHeight="1">
      <c r="A5" s="146">
        <v>1</v>
      </c>
      <c r="B5" s="147">
        <v>43375.333333333336</v>
      </c>
      <c r="C5" s="147">
        <v>43376.25902777778</v>
      </c>
      <c r="D5" s="94">
        <f aca="true" t="shared" si="0" ref="D5:D10">(C5-B5)*24</f>
        <v>22.21666666661622</v>
      </c>
      <c r="E5" s="147" t="s">
        <v>70</v>
      </c>
      <c r="F5" s="148">
        <v>106888</v>
      </c>
      <c r="G5" s="149"/>
      <c r="H5" s="147">
        <v>43376.25902777778</v>
      </c>
      <c r="I5" s="147">
        <v>43376.282638888886</v>
      </c>
      <c r="J5" s="156">
        <f aca="true" t="shared" si="1" ref="J5:J10">(I5-H5)*24</f>
        <v>0.566666666592937</v>
      </c>
      <c r="K5" s="156">
        <f aca="true" t="shared" si="2" ref="K5:K10">(I5-H5)*24</f>
        <v>0.566666666592937</v>
      </c>
      <c r="L5" s="150" t="s">
        <v>68</v>
      </c>
      <c r="M5" s="151" t="s">
        <v>68</v>
      </c>
      <c r="N5" s="151" t="s">
        <v>68</v>
      </c>
      <c r="O5" s="152" t="s">
        <v>17</v>
      </c>
      <c r="P5" s="147"/>
      <c r="Q5" s="35">
        <f aca="true" t="shared" si="3" ref="Q5:Q11">IF($O5="Store Lost",1,"")</f>
        <v>1</v>
      </c>
      <c r="R5" s="35">
        <f aca="true" t="shared" si="4" ref="R5:R11">IF($O5="Scheduled",1,"")</f>
      </c>
      <c r="S5" s="35">
        <f aca="true" t="shared" si="5" ref="S5:S11">IF($O5="Inhibits beam to user",1,"")</f>
      </c>
      <c r="T5" s="36">
        <f aca="true" t="shared" si="6" ref="T5:T11">SUM(Q5:S5)</f>
        <v>1</v>
      </c>
      <c r="U5" s="135"/>
      <c r="V5" s="135"/>
      <c r="W5" s="135"/>
    </row>
    <row r="6" spans="1:23" s="136" customFormat="1" ht="15.75" customHeight="1">
      <c r="A6" s="139">
        <v>2</v>
      </c>
      <c r="B6" s="140">
        <v>43376.282638888886</v>
      </c>
      <c r="C6" s="140">
        <v>43376.510416666664</v>
      </c>
      <c r="D6" s="153">
        <f t="shared" si="0"/>
        <v>5.466666666674428</v>
      </c>
      <c r="E6" s="140" t="s">
        <v>71</v>
      </c>
      <c r="F6" s="141">
        <v>106889</v>
      </c>
      <c r="G6" s="142"/>
      <c r="H6" s="140">
        <v>43376.510416666664</v>
      </c>
      <c r="I6" s="140">
        <v>43376.618055555555</v>
      </c>
      <c r="J6" s="153">
        <f t="shared" si="1"/>
        <v>2.5833333333721384</v>
      </c>
      <c r="K6" s="153">
        <f t="shared" si="2"/>
        <v>2.5833333333721384</v>
      </c>
      <c r="L6" s="143" t="s">
        <v>23</v>
      </c>
      <c r="M6" s="144" t="s">
        <v>23</v>
      </c>
      <c r="N6" s="144" t="s">
        <v>23</v>
      </c>
      <c r="O6" s="145" t="s">
        <v>17</v>
      </c>
      <c r="P6" s="140"/>
      <c r="Q6" s="35">
        <f t="shared" si="3"/>
        <v>1</v>
      </c>
      <c r="R6" s="35">
        <f t="shared" si="4"/>
      </c>
      <c r="S6" s="35">
        <f t="shared" si="5"/>
      </c>
      <c r="T6" s="36">
        <f t="shared" si="6"/>
        <v>1</v>
      </c>
      <c r="U6" s="135"/>
      <c r="V6" s="135"/>
      <c r="W6" s="135"/>
    </row>
    <row r="7" spans="1:23" s="136" customFormat="1" ht="15.75" customHeight="1">
      <c r="A7" s="146">
        <v>3</v>
      </c>
      <c r="B7" s="147">
        <v>43376.618055555555</v>
      </c>
      <c r="C7" s="147">
        <v>43376.7875</v>
      </c>
      <c r="D7" s="94">
        <f t="shared" si="0"/>
        <v>4.066666666651145</v>
      </c>
      <c r="E7" s="147" t="s">
        <v>71</v>
      </c>
      <c r="F7" s="148">
        <v>106890</v>
      </c>
      <c r="G7" s="149"/>
      <c r="H7" s="147">
        <v>43376.7875</v>
      </c>
      <c r="I7" s="147">
        <v>43376.86041666667</v>
      </c>
      <c r="J7" s="156">
        <f t="shared" si="1"/>
        <v>1.7500000001164153</v>
      </c>
      <c r="K7" s="156">
        <f t="shared" si="2"/>
        <v>1.7500000001164153</v>
      </c>
      <c r="L7" s="150" t="s">
        <v>23</v>
      </c>
      <c r="M7" s="151" t="s">
        <v>23</v>
      </c>
      <c r="N7" s="151" t="s">
        <v>23</v>
      </c>
      <c r="O7" s="152" t="s">
        <v>17</v>
      </c>
      <c r="P7" s="147"/>
      <c r="Q7" s="35">
        <f t="shared" si="3"/>
        <v>1</v>
      </c>
      <c r="R7" s="35">
        <f t="shared" si="4"/>
      </c>
      <c r="S7" s="35">
        <f t="shared" si="5"/>
      </c>
      <c r="T7" s="36">
        <f t="shared" si="6"/>
        <v>1</v>
      </c>
      <c r="U7" s="135"/>
      <c r="V7" s="135"/>
      <c r="W7" s="135"/>
    </row>
    <row r="8" spans="1:23" s="136" customFormat="1" ht="15.75" customHeight="1">
      <c r="A8" s="139">
        <v>4</v>
      </c>
      <c r="B8" s="140">
        <v>43376.86041666667</v>
      </c>
      <c r="C8" s="140">
        <v>43377.37152777778</v>
      </c>
      <c r="D8" s="153">
        <f t="shared" si="0"/>
        <v>12.266666666662786</v>
      </c>
      <c r="E8" s="140" t="s">
        <v>72</v>
      </c>
      <c r="F8" s="141">
        <v>106891</v>
      </c>
      <c r="G8" s="142"/>
      <c r="H8" s="140">
        <v>43377.37152777778</v>
      </c>
      <c r="I8" s="140">
        <v>43377.41875</v>
      </c>
      <c r="J8" s="153">
        <f t="shared" si="1"/>
        <v>1.133333333185874</v>
      </c>
      <c r="K8" s="153">
        <f t="shared" si="2"/>
        <v>1.133333333185874</v>
      </c>
      <c r="L8" s="143" t="s">
        <v>23</v>
      </c>
      <c r="M8" s="144" t="s">
        <v>23</v>
      </c>
      <c r="N8" s="144" t="s">
        <v>23</v>
      </c>
      <c r="O8" s="145" t="s">
        <v>17</v>
      </c>
      <c r="P8" s="140"/>
      <c r="Q8" s="35">
        <f t="shared" si="3"/>
        <v>1</v>
      </c>
      <c r="R8" s="35">
        <f t="shared" si="4"/>
      </c>
      <c r="S8" s="35">
        <f t="shared" si="5"/>
      </c>
      <c r="T8" s="36">
        <f t="shared" si="6"/>
        <v>1</v>
      </c>
      <c r="U8" s="135"/>
      <c r="V8" s="135"/>
      <c r="W8" s="135"/>
    </row>
    <row r="9" spans="1:23" s="136" customFormat="1" ht="15.75" customHeight="1">
      <c r="A9" s="146">
        <v>5</v>
      </c>
      <c r="B9" s="147">
        <v>43377.41875</v>
      </c>
      <c r="C9" s="147">
        <v>43380.48263888889</v>
      </c>
      <c r="D9" s="94">
        <f t="shared" si="0"/>
        <v>73.53333333344199</v>
      </c>
      <c r="E9" s="147" t="s">
        <v>71</v>
      </c>
      <c r="F9" s="148">
        <v>106894</v>
      </c>
      <c r="G9" s="149"/>
      <c r="H9" s="147">
        <v>43380.48263888889</v>
      </c>
      <c r="I9" s="147">
        <v>43380.56180555555</v>
      </c>
      <c r="J9" s="156">
        <f t="shared" si="1"/>
        <v>1.8999999999068677</v>
      </c>
      <c r="K9" s="156">
        <f t="shared" si="2"/>
        <v>1.8999999999068677</v>
      </c>
      <c r="L9" s="150" t="s">
        <v>23</v>
      </c>
      <c r="M9" s="151" t="s">
        <v>23</v>
      </c>
      <c r="N9" s="151" t="s">
        <v>23</v>
      </c>
      <c r="O9" s="152" t="s">
        <v>17</v>
      </c>
      <c r="P9" s="147"/>
      <c r="Q9" s="35">
        <f t="shared" si="3"/>
        <v>1</v>
      </c>
      <c r="R9" s="35">
        <f t="shared" si="4"/>
      </c>
      <c r="S9" s="35">
        <f t="shared" si="5"/>
      </c>
      <c r="T9" s="36">
        <f t="shared" si="6"/>
        <v>1</v>
      </c>
      <c r="U9" s="135"/>
      <c r="V9" s="135"/>
      <c r="W9" s="135"/>
    </row>
    <row r="10" spans="1:23" s="136" customFormat="1" ht="15.75" customHeight="1">
      <c r="A10" s="139">
        <v>6</v>
      </c>
      <c r="B10" s="140">
        <v>43380.56180555555</v>
      </c>
      <c r="C10" s="140">
        <v>43381.333333333336</v>
      </c>
      <c r="D10" s="153">
        <f t="shared" si="0"/>
        <v>18.5166666667792</v>
      </c>
      <c r="E10" s="140" t="s">
        <v>67</v>
      </c>
      <c r="F10" s="141"/>
      <c r="G10" s="142"/>
      <c r="H10" s="140"/>
      <c r="I10" s="140"/>
      <c r="J10" s="153">
        <f t="shared" si="1"/>
        <v>0</v>
      </c>
      <c r="K10" s="153">
        <f t="shared" si="2"/>
        <v>0</v>
      </c>
      <c r="L10" s="143"/>
      <c r="M10" s="144"/>
      <c r="N10" s="144"/>
      <c r="O10" s="145" t="s">
        <v>21</v>
      </c>
      <c r="P10" s="140"/>
      <c r="Q10" s="35">
        <f t="shared" si="3"/>
      </c>
      <c r="R10" s="35">
        <f t="shared" si="4"/>
        <v>1</v>
      </c>
      <c r="S10" s="35">
        <f t="shared" si="5"/>
      </c>
      <c r="T10" s="36">
        <f t="shared" si="6"/>
        <v>1</v>
      </c>
      <c r="U10" s="135"/>
      <c r="V10" s="135"/>
      <c r="W10" s="135"/>
    </row>
    <row r="11" spans="1:23" s="34" customFormat="1" ht="12.75">
      <c r="A11" s="124"/>
      <c r="B11" s="125"/>
      <c r="C11" s="125"/>
      <c r="D11" s="126">
        <f>SUM(D5:D10)</f>
        <v>136.06666666682577</v>
      </c>
      <c r="E11" s="127"/>
      <c r="F11" s="128"/>
      <c r="G11" s="129"/>
      <c r="H11" s="130"/>
      <c r="I11" s="130"/>
      <c r="J11" s="157">
        <f>SUM(J5:J10)</f>
        <v>7.933333333174232</v>
      </c>
      <c r="K11" s="157">
        <f>SUM(K5:K10)</f>
        <v>7.933333333174232</v>
      </c>
      <c r="L11" s="131"/>
      <c r="M11" s="132"/>
      <c r="N11" s="132"/>
      <c r="O11" s="133"/>
      <c r="P11" s="127"/>
      <c r="Q11" s="35">
        <f t="shared" si="3"/>
      </c>
      <c r="R11" s="35">
        <f t="shared" si="4"/>
      </c>
      <c r="S11" s="35">
        <f t="shared" si="5"/>
      </c>
      <c r="T11" s="36">
        <f t="shared" si="6"/>
        <v>0</v>
      </c>
      <c r="U11" s="30"/>
      <c r="V11" s="30"/>
      <c r="W11" s="30"/>
    </row>
    <row r="12" spans="1:23" s="136" customFormat="1" ht="15.75" customHeight="1">
      <c r="A12" s="168">
        <v>7</v>
      </c>
      <c r="B12" s="158">
        <v>43382.333333333336</v>
      </c>
      <c r="C12" s="158">
        <v>43383.211805555555</v>
      </c>
      <c r="D12" s="169">
        <f>(C12-B12)*24</f>
        <v>21.083333333255723</v>
      </c>
      <c r="E12" s="158" t="s">
        <v>73</v>
      </c>
      <c r="F12" s="170">
        <v>106898</v>
      </c>
      <c r="G12" s="171"/>
      <c r="H12" s="158">
        <v>43383.211805555555</v>
      </c>
      <c r="I12" s="158">
        <v>43383.30902777778</v>
      </c>
      <c r="J12" s="169">
        <f>(I12-H12)*24</f>
        <v>2.333333333430346</v>
      </c>
      <c r="K12" s="169">
        <f>(I12-H12)*24</f>
        <v>2.333333333430346</v>
      </c>
      <c r="L12" s="172" t="s">
        <v>22</v>
      </c>
      <c r="M12" s="173" t="s">
        <v>22</v>
      </c>
      <c r="N12" s="173" t="s">
        <v>22</v>
      </c>
      <c r="O12" s="174" t="s">
        <v>17</v>
      </c>
      <c r="P12" s="158"/>
      <c r="Q12" s="35">
        <f aca="true" t="shared" si="7" ref="Q12:Q21">IF($O12="Store Lost",1,"")</f>
        <v>1</v>
      </c>
      <c r="R12" s="35">
        <f aca="true" t="shared" si="8" ref="R12:R21">IF($O12="Scheduled",1,"")</f>
      </c>
      <c r="S12" s="35">
        <f aca="true" t="shared" si="9" ref="S12:S21">IF($O12="Inhibits beam to user",1,"")</f>
      </c>
      <c r="T12" s="36">
        <f aca="true" t="shared" si="10" ref="T12:T18">SUM(Q12:S12)</f>
        <v>1</v>
      </c>
      <c r="U12" s="135"/>
      <c r="V12" s="135"/>
      <c r="W12" s="135"/>
    </row>
    <row r="13" spans="1:23" s="34" customFormat="1" ht="12.75">
      <c r="A13" s="161">
        <v>8</v>
      </c>
      <c r="B13" s="162">
        <v>43383.30902777778</v>
      </c>
      <c r="C13" s="162">
        <v>43385.36944444444</v>
      </c>
      <c r="D13" s="94">
        <f>(C13-B13)*24</f>
        <v>49.44999999983702</v>
      </c>
      <c r="E13" s="163" t="s">
        <v>74</v>
      </c>
      <c r="F13" s="164">
        <v>106900</v>
      </c>
      <c r="G13" s="165"/>
      <c r="H13" s="162">
        <v>43385.36944444444</v>
      </c>
      <c r="I13" s="162">
        <v>43385.419444444444</v>
      </c>
      <c r="J13" s="94">
        <f>(I13-H13)*24</f>
        <v>1.2000000000698492</v>
      </c>
      <c r="K13" s="156">
        <f>(I13-H13)*24</f>
        <v>1.2000000000698492</v>
      </c>
      <c r="L13" s="166" t="s">
        <v>24</v>
      </c>
      <c r="M13" s="167" t="s">
        <v>24</v>
      </c>
      <c r="N13" s="167" t="s">
        <v>24</v>
      </c>
      <c r="O13" s="152" t="s">
        <v>17</v>
      </c>
      <c r="P13" s="163"/>
      <c r="Q13" s="35">
        <f t="shared" si="7"/>
        <v>1</v>
      </c>
      <c r="R13" s="35">
        <f t="shared" si="8"/>
      </c>
      <c r="S13" s="35">
        <f t="shared" si="9"/>
      </c>
      <c r="T13" s="36">
        <f t="shared" si="10"/>
        <v>1</v>
      </c>
      <c r="U13" s="30"/>
      <c r="V13" s="30"/>
      <c r="W13" s="30"/>
    </row>
    <row r="14" spans="1:23" s="136" customFormat="1" ht="15.75" customHeight="1">
      <c r="A14" s="139">
        <v>9</v>
      </c>
      <c r="B14" s="140">
        <v>43385.419444444444</v>
      </c>
      <c r="C14" s="140">
        <v>43386.24236111111</v>
      </c>
      <c r="D14" s="153">
        <f>(C14-B14)*24</f>
        <v>19.749999999941792</v>
      </c>
      <c r="E14" s="140" t="s">
        <v>75</v>
      </c>
      <c r="F14" s="141">
        <v>106901</v>
      </c>
      <c r="G14" s="142"/>
      <c r="H14" s="158">
        <v>43386.24236111111</v>
      </c>
      <c r="I14" s="158">
        <v>43386.24513888889</v>
      </c>
      <c r="J14" s="153">
        <f>(I14-H14)*24</f>
        <v>0.06666666670935228</v>
      </c>
      <c r="K14" s="169">
        <f>(I14-H14)*24</f>
        <v>0.06666666670935228</v>
      </c>
      <c r="L14" s="143" t="s">
        <v>69</v>
      </c>
      <c r="M14" s="144" t="s">
        <v>69</v>
      </c>
      <c r="N14" s="144" t="s">
        <v>69</v>
      </c>
      <c r="O14" s="145" t="s">
        <v>17</v>
      </c>
      <c r="P14" s="140"/>
      <c r="Q14" s="35">
        <f t="shared" si="7"/>
        <v>1</v>
      </c>
      <c r="R14" s="35">
        <f t="shared" si="8"/>
      </c>
      <c r="S14" s="35">
        <f t="shared" si="9"/>
      </c>
      <c r="T14" s="36">
        <f>SUM(Q14:S14)</f>
        <v>1</v>
      </c>
      <c r="U14" s="135"/>
      <c r="V14" s="135"/>
      <c r="W14" s="135"/>
    </row>
    <row r="15" spans="1:23" s="138" customFormat="1" ht="12.75">
      <c r="A15" s="146">
        <v>10</v>
      </c>
      <c r="B15" s="147">
        <v>43386.24513888889</v>
      </c>
      <c r="C15" s="147">
        <v>43388.333333333336</v>
      </c>
      <c r="D15" s="94">
        <f>(C15-B15)*24</f>
        <v>50.11666666675592</v>
      </c>
      <c r="E15" s="147" t="s">
        <v>67</v>
      </c>
      <c r="F15" s="148"/>
      <c r="G15" s="149"/>
      <c r="H15" s="147"/>
      <c r="I15" s="147"/>
      <c r="J15" s="94">
        <f>(I15-H15)*24</f>
        <v>0</v>
      </c>
      <c r="K15" s="156">
        <f>(I15-H15)*24</f>
        <v>0</v>
      </c>
      <c r="L15" s="150"/>
      <c r="M15" s="151"/>
      <c r="N15" s="151"/>
      <c r="O15" s="152" t="s">
        <v>21</v>
      </c>
      <c r="P15" s="147"/>
      <c r="Q15" s="35">
        <f t="shared" si="7"/>
      </c>
      <c r="R15" s="35">
        <f t="shared" si="8"/>
        <v>1</v>
      </c>
      <c r="S15" s="35">
        <f t="shared" si="9"/>
      </c>
      <c r="T15" s="36">
        <f t="shared" si="10"/>
        <v>1</v>
      </c>
      <c r="U15" s="137"/>
      <c r="V15" s="137"/>
      <c r="W15" s="137"/>
    </row>
    <row r="16" spans="1:23" s="34" customFormat="1" ht="12.75">
      <c r="A16" s="124"/>
      <c r="B16" s="125"/>
      <c r="C16" s="125"/>
      <c r="D16" s="126">
        <f>SUM(D12:D15)</f>
        <v>140.39999999979045</v>
      </c>
      <c r="E16" s="127"/>
      <c r="F16" s="128"/>
      <c r="G16" s="129"/>
      <c r="H16" s="130"/>
      <c r="I16" s="130"/>
      <c r="J16" s="157">
        <f>SUM(J12:J15)</f>
        <v>3.6000000002095476</v>
      </c>
      <c r="K16" s="157">
        <f>SUM(K12:K15)</f>
        <v>3.6000000002095476</v>
      </c>
      <c r="L16" s="131"/>
      <c r="M16" s="132"/>
      <c r="N16" s="132"/>
      <c r="O16" s="133"/>
      <c r="P16" s="127"/>
      <c r="Q16" s="35">
        <f t="shared" si="7"/>
      </c>
      <c r="R16" s="35">
        <f t="shared" si="8"/>
      </c>
      <c r="S16" s="35">
        <f t="shared" si="9"/>
      </c>
      <c r="T16" s="36">
        <f t="shared" si="10"/>
        <v>0</v>
      </c>
      <c r="U16" s="30"/>
      <c r="V16" s="30"/>
      <c r="W16" s="30"/>
    </row>
    <row r="17" spans="1:23" s="136" customFormat="1" ht="15.75" customHeight="1">
      <c r="A17" s="139">
        <v>11</v>
      </c>
      <c r="B17" s="140">
        <v>43389.333333333336</v>
      </c>
      <c r="C17" s="140">
        <v>43395.333333333336</v>
      </c>
      <c r="D17" s="153">
        <f>(C17-B17)*24</f>
        <v>144</v>
      </c>
      <c r="E17" s="140" t="s">
        <v>67</v>
      </c>
      <c r="F17" s="141"/>
      <c r="G17" s="142"/>
      <c r="H17" s="140"/>
      <c r="I17" s="140"/>
      <c r="J17" s="153">
        <f>(I17-H17)*24</f>
        <v>0</v>
      </c>
      <c r="K17" s="153">
        <f>(I17-H17)*24</f>
        <v>0</v>
      </c>
      <c r="L17" s="143"/>
      <c r="M17" s="144"/>
      <c r="N17" s="144"/>
      <c r="O17" s="145" t="s">
        <v>21</v>
      </c>
      <c r="P17" s="140"/>
      <c r="Q17" s="35">
        <f t="shared" si="7"/>
      </c>
      <c r="R17" s="35">
        <f t="shared" si="8"/>
        <v>1</v>
      </c>
      <c r="S17" s="35">
        <f t="shared" si="9"/>
      </c>
      <c r="T17" s="36">
        <f t="shared" si="10"/>
        <v>1</v>
      </c>
      <c r="U17" s="135"/>
      <c r="V17" s="135"/>
      <c r="W17" s="135"/>
    </row>
    <row r="18" spans="1:23" s="34" customFormat="1" ht="12.75">
      <c r="A18" s="124"/>
      <c r="B18" s="125"/>
      <c r="C18" s="125"/>
      <c r="D18" s="126">
        <f>SUM(D17:D17)</f>
        <v>144</v>
      </c>
      <c r="E18" s="127"/>
      <c r="F18" s="128"/>
      <c r="G18" s="129"/>
      <c r="H18" s="130"/>
      <c r="I18" s="130"/>
      <c r="J18" s="157">
        <f>SUM(J17:J17)</f>
        <v>0</v>
      </c>
      <c r="K18" s="157">
        <f>SUM(K17:K17)</f>
        <v>0</v>
      </c>
      <c r="L18" s="131"/>
      <c r="M18" s="132"/>
      <c r="N18" s="132"/>
      <c r="O18" s="133"/>
      <c r="P18" s="127"/>
      <c r="Q18" s="35">
        <f t="shared" si="7"/>
      </c>
      <c r="R18" s="35">
        <f t="shared" si="8"/>
      </c>
      <c r="S18" s="35">
        <f t="shared" si="9"/>
      </c>
      <c r="T18" s="36">
        <f t="shared" si="10"/>
        <v>0</v>
      </c>
      <c r="U18" s="30"/>
      <c r="V18" s="30"/>
      <c r="W18" s="30"/>
    </row>
    <row r="19" spans="1:23" s="136" customFormat="1" ht="15.75" customHeight="1">
      <c r="A19" s="139">
        <v>12</v>
      </c>
      <c r="B19" s="140">
        <v>43396.333333333336</v>
      </c>
      <c r="C19" s="140">
        <v>43399.73263888889</v>
      </c>
      <c r="D19" s="153">
        <f>(C19-B19)*24</f>
        <v>81.58333333331393</v>
      </c>
      <c r="E19" s="140" t="s">
        <v>76</v>
      </c>
      <c r="F19" s="141">
        <v>106910</v>
      </c>
      <c r="G19" s="142"/>
      <c r="H19" s="140">
        <v>43399.73263888889</v>
      </c>
      <c r="I19" s="158">
        <v>43399.754166666666</v>
      </c>
      <c r="J19" s="153">
        <f>(I19-H19)*24</f>
        <v>0.5166666666045785</v>
      </c>
      <c r="K19" s="153">
        <f>(I19-H19)*24</f>
        <v>0.5166666666045785</v>
      </c>
      <c r="L19" s="143" t="s">
        <v>69</v>
      </c>
      <c r="M19" s="144" t="s">
        <v>69</v>
      </c>
      <c r="N19" s="144" t="s">
        <v>69</v>
      </c>
      <c r="O19" s="145" t="s">
        <v>17</v>
      </c>
      <c r="P19" s="140"/>
      <c r="Q19" s="35">
        <f t="shared" si="7"/>
        <v>1</v>
      </c>
      <c r="R19" s="35">
        <f t="shared" si="8"/>
      </c>
      <c r="S19" s="35">
        <f t="shared" si="9"/>
      </c>
      <c r="T19" s="36">
        <f>SUM(Q19:S19)</f>
        <v>1</v>
      </c>
      <c r="U19" s="135"/>
      <c r="V19" s="135"/>
      <c r="W19" s="135"/>
    </row>
    <row r="20" spans="1:23" s="138" customFormat="1" ht="12.75">
      <c r="A20" s="146">
        <v>13</v>
      </c>
      <c r="B20" s="147">
        <v>43399.754166666666</v>
      </c>
      <c r="C20" s="147">
        <v>43402.333333333336</v>
      </c>
      <c r="D20" s="94">
        <f>(C20-B20)*24</f>
        <v>61.90000000008149</v>
      </c>
      <c r="E20" s="147" t="s">
        <v>67</v>
      </c>
      <c r="F20" s="148"/>
      <c r="G20" s="149"/>
      <c r="H20" s="147"/>
      <c r="I20" s="147"/>
      <c r="J20" s="94">
        <f>(I20-H20)*24</f>
        <v>0</v>
      </c>
      <c r="K20" s="156">
        <f>(I20-H20)*24</f>
        <v>0</v>
      </c>
      <c r="L20" s="150"/>
      <c r="M20" s="151"/>
      <c r="N20" s="151"/>
      <c r="O20" s="152" t="s">
        <v>21</v>
      </c>
      <c r="P20" s="147"/>
      <c r="Q20" s="35">
        <f t="shared" si="7"/>
      </c>
      <c r="R20" s="35">
        <f t="shared" si="8"/>
        <v>1</v>
      </c>
      <c r="S20" s="35">
        <f t="shared" si="9"/>
      </c>
      <c r="T20" s="36">
        <f>SUM(Q20:S20)</f>
        <v>1</v>
      </c>
      <c r="U20" s="137"/>
      <c r="V20" s="137"/>
      <c r="W20" s="137"/>
    </row>
    <row r="21" spans="1:23" s="34" customFormat="1" ht="12.75">
      <c r="A21" s="124"/>
      <c r="B21" s="125"/>
      <c r="C21" s="125"/>
      <c r="D21" s="126">
        <f>SUM(D19:D20)</f>
        <v>143.48333333339542</v>
      </c>
      <c r="E21" s="127"/>
      <c r="F21" s="128"/>
      <c r="G21" s="129"/>
      <c r="H21" s="130"/>
      <c r="I21" s="130"/>
      <c r="J21" s="157">
        <f>SUM(J19:J20)</f>
        <v>0.5166666666045785</v>
      </c>
      <c r="K21" s="157">
        <f>SUM(K19:K20)</f>
        <v>0.5166666666045785</v>
      </c>
      <c r="L21" s="131"/>
      <c r="M21" s="132"/>
      <c r="N21" s="132"/>
      <c r="O21" s="133"/>
      <c r="P21" s="127"/>
      <c r="Q21" s="35">
        <f t="shared" si="7"/>
      </c>
      <c r="R21" s="35">
        <f t="shared" si="8"/>
      </c>
      <c r="S21" s="35">
        <f t="shared" si="9"/>
      </c>
      <c r="T21" s="36">
        <f>SUM(Q21:S21)</f>
        <v>0</v>
      </c>
      <c r="U21" s="30"/>
      <c r="V21" s="30"/>
      <c r="W21" s="30"/>
    </row>
    <row r="22" spans="1:23" s="136" customFormat="1" ht="15.75" customHeight="1">
      <c r="A22" s="139">
        <v>14</v>
      </c>
      <c r="B22" s="140">
        <v>43404.333333333336</v>
      </c>
      <c r="C22" s="140">
        <v>43409.333333333336</v>
      </c>
      <c r="D22" s="153">
        <f>(C22-B22)*24+1</f>
        <v>121</v>
      </c>
      <c r="E22" s="140" t="s">
        <v>67</v>
      </c>
      <c r="F22" s="141"/>
      <c r="G22" s="142"/>
      <c r="H22" s="140"/>
      <c r="I22" s="140"/>
      <c r="J22" s="153">
        <f>(I22-H22)*24</f>
        <v>0</v>
      </c>
      <c r="K22" s="153">
        <f>(I22-H22)*24</f>
        <v>0</v>
      </c>
      <c r="L22" s="143"/>
      <c r="M22" s="144"/>
      <c r="N22" s="144"/>
      <c r="O22" s="145" t="s">
        <v>21</v>
      </c>
      <c r="P22" s="140"/>
      <c r="Q22" s="35">
        <f aca="true" t="shared" si="11" ref="Q22:Q42">IF($O22="Store Lost",1,"")</f>
      </c>
      <c r="R22" s="35">
        <f aca="true" t="shared" si="12" ref="R22:R42">IF($O22="Scheduled",1,"")</f>
        <v>1</v>
      </c>
      <c r="S22" s="35">
        <f aca="true" t="shared" si="13" ref="S22:S42">IF($O22="Inhibits beam to user",1,"")</f>
      </c>
      <c r="T22" s="36">
        <f aca="true" t="shared" si="14" ref="T22:T30">SUM(Q22:S22)</f>
        <v>1</v>
      </c>
      <c r="U22" s="135"/>
      <c r="V22" s="135"/>
      <c r="W22" s="135"/>
    </row>
    <row r="23" spans="1:23" s="34" customFormat="1" ht="12.75">
      <c r="A23" s="124"/>
      <c r="B23" s="125"/>
      <c r="C23" s="125"/>
      <c r="D23" s="126">
        <f>SUM(D22:D22)</f>
        <v>121</v>
      </c>
      <c r="E23" s="127"/>
      <c r="F23" s="128"/>
      <c r="G23" s="129"/>
      <c r="H23" s="130"/>
      <c r="I23" s="130"/>
      <c r="J23" s="157">
        <f>SUM(J22:J22)</f>
        <v>0</v>
      </c>
      <c r="K23" s="157">
        <f>SUM(K22:K22)</f>
        <v>0</v>
      </c>
      <c r="L23" s="131"/>
      <c r="M23" s="132"/>
      <c r="N23" s="132"/>
      <c r="O23" s="133"/>
      <c r="P23" s="127"/>
      <c r="Q23" s="35">
        <f t="shared" si="11"/>
      </c>
      <c r="R23" s="35">
        <f t="shared" si="12"/>
      </c>
      <c r="S23" s="35">
        <f t="shared" si="13"/>
      </c>
      <c r="T23" s="36">
        <f t="shared" si="14"/>
        <v>0</v>
      </c>
      <c r="U23" s="30"/>
      <c r="V23" s="30"/>
      <c r="W23" s="30"/>
    </row>
    <row r="24" spans="1:23" s="136" customFormat="1" ht="15.75" customHeight="1">
      <c r="A24" s="139">
        <v>15</v>
      </c>
      <c r="B24" s="140">
        <v>43410.333333333336</v>
      </c>
      <c r="C24" s="140">
        <v>43413.68125</v>
      </c>
      <c r="D24" s="153">
        <f>(C24-B24)*24</f>
        <v>80.34999999997672</v>
      </c>
      <c r="E24" s="140" t="s">
        <v>80</v>
      </c>
      <c r="F24" s="141">
        <v>106915</v>
      </c>
      <c r="G24" s="142"/>
      <c r="H24" s="140">
        <v>43413.68125</v>
      </c>
      <c r="I24" s="158">
        <v>43413.79375</v>
      </c>
      <c r="J24" s="153">
        <f>(I24-H24)*24</f>
        <v>2.699999999895226</v>
      </c>
      <c r="K24" s="153">
        <f>(I24-H24)*24</f>
        <v>2.699999999895226</v>
      </c>
      <c r="L24" s="143" t="s">
        <v>22</v>
      </c>
      <c r="M24" s="144" t="s">
        <v>22</v>
      </c>
      <c r="N24" s="144" t="s">
        <v>22</v>
      </c>
      <c r="O24" s="145" t="s">
        <v>17</v>
      </c>
      <c r="P24" s="140"/>
      <c r="Q24" s="35">
        <f t="shared" si="11"/>
        <v>1</v>
      </c>
      <c r="R24" s="35">
        <f t="shared" si="12"/>
      </c>
      <c r="S24" s="35">
        <f t="shared" si="13"/>
      </c>
      <c r="T24" s="36">
        <f t="shared" si="14"/>
        <v>1</v>
      </c>
      <c r="U24" s="135"/>
      <c r="V24" s="135"/>
      <c r="W24" s="135"/>
    </row>
    <row r="25" spans="1:23" s="138" customFormat="1" ht="12.75">
      <c r="A25" s="146">
        <v>16</v>
      </c>
      <c r="B25" s="147">
        <v>43413.79375</v>
      </c>
      <c r="C25" s="147">
        <v>43415.044444444444</v>
      </c>
      <c r="D25" s="94">
        <f>(C25-B25)*24</f>
        <v>30.016666666720994</v>
      </c>
      <c r="E25" s="147" t="s">
        <v>79</v>
      </c>
      <c r="F25" s="148">
        <v>106917</v>
      </c>
      <c r="G25" s="149"/>
      <c r="H25" s="147">
        <v>43415.044444444444</v>
      </c>
      <c r="I25" s="147">
        <v>43415.21527777778</v>
      </c>
      <c r="J25" s="94">
        <f>(I25-H25)*24</f>
        <v>4.100000000093132</v>
      </c>
      <c r="K25" s="156">
        <f>(I25-H25)*24</f>
        <v>4.100000000093132</v>
      </c>
      <c r="L25" s="150" t="s">
        <v>23</v>
      </c>
      <c r="M25" s="151" t="s">
        <v>23</v>
      </c>
      <c r="N25" s="151" t="s">
        <v>23</v>
      </c>
      <c r="O25" s="152" t="s">
        <v>17</v>
      </c>
      <c r="P25" s="147"/>
      <c r="Q25" s="35">
        <f t="shared" si="11"/>
        <v>1</v>
      </c>
      <c r="R25" s="35">
        <f t="shared" si="12"/>
      </c>
      <c r="S25" s="35">
        <f t="shared" si="13"/>
      </c>
      <c r="T25" s="36">
        <f t="shared" si="14"/>
        <v>1</v>
      </c>
      <c r="U25" s="137"/>
      <c r="V25" s="137"/>
      <c r="W25" s="137"/>
    </row>
    <row r="26" spans="1:23" s="136" customFormat="1" ht="15.75" customHeight="1">
      <c r="A26" s="139">
        <v>17</v>
      </c>
      <c r="B26" s="140">
        <v>43415.21527777778</v>
      </c>
      <c r="C26" s="140">
        <v>43416.333333333336</v>
      </c>
      <c r="D26" s="153">
        <f>(C26-B26)*24</f>
        <v>26.83333333331393</v>
      </c>
      <c r="E26" s="140" t="s">
        <v>67</v>
      </c>
      <c r="F26" s="141"/>
      <c r="G26" s="142"/>
      <c r="H26" s="140"/>
      <c r="I26" s="140"/>
      <c r="J26" s="153">
        <f>(I26-H26)*24</f>
        <v>0</v>
      </c>
      <c r="K26" s="153">
        <f>(I26-H26)*24</f>
        <v>0</v>
      </c>
      <c r="L26" s="143"/>
      <c r="M26" s="144"/>
      <c r="N26" s="144"/>
      <c r="O26" s="145" t="s">
        <v>21</v>
      </c>
      <c r="P26" s="140"/>
      <c r="Q26" s="35">
        <f t="shared" si="11"/>
      </c>
      <c r="R26" s="35">
        <f t="shared" si="12"/>
        <v>1</v>
      </c>
      <c r="S26" s="35">
        <f t="shared" si="13"/>
      </c>
      <c r="T26" s="36">
        <f t="shared" si="14"/>
        <v>1</v>
      </c>
      <c r="U26" s="135"/>
      <c r="V26" s="135"/>
      <c r="W26" s="135"/>
    </row>
    <row r="27" spans="1:23" s="34" customFormat="1" ht="12.75">
      <c r="A27" s="124"/>
      <c r="B27" s="125"/>
      <c r="C27" s="125"/>
      <c r="D27" s="126">
        <f>SUM(D24:D26)</f>
        <v>137.20000000001164</v>
      </c>
      <c r="E27" s="127"/>
      <c r="F27" s="128"/>
      <c r="G27" s="129"/>
      <c r="H27" s="130"/>
      <c r="I27" s="130"/>
      <c r="J27" s="157">
        <f>SUM(J24:J26)</f>
        <v>6.7999999999883585</v>
      </c>
      <c r="K27" s="157">
        <f>SUM(K24:K26)</f>
        <v>6.7999999999883585</v>
      </c>
      <c r="L27" s="131"/>
      <c r="M27" s="132"/>
      <c r="N27" s="132"/>
      <c r="O27" s="133"/>
      <c r="P27" s="127"/>
      <c r="Q27" s="35">
        <f t="shared" si="11"/>
      </c>
      <c r="R27" s="35">
        <f t="shared" si="12"/>
      </c>
      <c r="S27" s="35">
        <f t="shared" si="13"/>
      </c>
      <c r="T27" s="36">
        <f t="shared" si="14"/>
        <v>0</v>
      </c>
      <c r="U27" s="30"/>
      <c r="V27" s="30"/>
      <c r="W27" s="30"/>
    </row>
    <row r="28" spans="1:23" s="136" customFormat="1" ht="15.75" customHeight="1">
      <c r="A28" s="139">
        <v>18</v>
      </c>
      <c r="B28" s="140">
        <v>43417.333333333336</v>
      </c>
      <c r="C28" s="140">
        <v>43425.333333333336</v>
      </c>
      <c r="D28" s="153">
        <f>(C28-B28)*24</f>
        <v>192</v>
      </c>
      <c r="E28" s="140" t="s">
        <v>67</v>
      </c>
      <c r="F28" s="141"/>
      <c r="G28" s="142"/>
      <c r="H28" s="140"/>
      <c r="I28" s="140"/>
      <c r="J28" s="153">
        <f>(I28-H28)*24</f>
        <v>0</v>
      </c>
      <c r="K28" s="153">
        <f>(I28-H28)*24</f>
        <v>0</v>
      </c>
      <c r="L28" s="143"/>
      <c r="M28" s="144"/>
      <c r="N28" s="144"/>
      <c r="O28" s="145" t="s">
        <v>21</v>
      </c>
      <c r="P28" s="140"/>
      <c r="Q28" s="35">
        <f t="shared" si="11"/>
      </c>
      <c r="R28" s="35">
        <f t="shared" si="12"/>
        <v>1</v>
      </c>
      <c r="S28" s="35">
        <f t="shared" si="13"/>
      </c>
      <c r="T28" s="36">
        <f t="shared" si="14"/>
        <v>1</v>
      </c>
      <c r="U28" s="135"/>
      <c r="V28" s="135"/>
      <c r="W28" s="135"/>
    </row>
    <row r="29" spans="1:23" s="34" customFormat="1" ht="12.75">
      <c r="A29" s="124"/>
      <c r="B29" s="125"/>
      <c r="C29" s="125"/>
      <c r="D29" s="126">
        <f>SUM(D28:D28)</f>
        <v>192</v>
      </c>
      <c r="E29" s="127"/>
      <c r="F29" s="128"/>
      <c r="G29" s="129"/>
      <c r="H29" s="130"/>
      <c r="I29" s="130"/>
      <c r="J29" s="157">
        <f>SUM(J28:J28)</f>
        <v>0</v>
      </c>
      <c r="K29" s="157">
        <f>SUM(K28:K28)</f>
        <v>0</v>
      </c>
      <c r="L29" s="131"/>
      <c r="M29" s="132"/>
      <c r="N29" s="132"/>
      <c r="O29" s="133"/>
      <c r="P29" s="127"/>
      <c r="Q29" s="35">
        <f t="shared" si="11"/>
      </c>
      <c r="R29" s="35">
        <f t="shared" si="12"/>
      </c>
      <c r="S29" s="35">
        <f t="shared" si="13"/>
      </c>
      <c r="T29" s="36">
        <f t="shared" si="14"/>
        <v>0</v>
      </c>
      <c r="U29" s="30"/>
      <c r="V29" s="30"/>
      <c r="W29" s="30"/>
    </row>
    <row r="30" spans="1:23" s="34" customFormat="1" ht="12.75">
      <c r="A30" s="161">
        <v>19</v>
      </c>
      <c r="B30" s="162">
        <v>43427.333333333336</v>
      </c>
      <c r="C30" s="162">
        <v>43429.95347222222</v>
      </c>
      <c r="D30" s="94">
        <f>(C30-B30)*24</f>
        <v>62.88333333330229</v>
      </c>
      <c r="E30" s="163" t="s">
        <v>81</v>
      </c>
      <c r="F30" s="164">
        <v>106924</v>
      </c>
      <c r="G30" s="165"/>
      <c r="H30" s="162">
        <v>43429.95347222222</v>
      </c>
      <c r="I30" s="162">
        <v>43429.97638888889</v>
      </c>
      <c r="J30" s="94">
        <f>(I30-H30)*24</f>
        <v>0.5500000000465661</v>
      </c>
      <c r="K30" s="156">
        <f>(I30-H30)*24</f>
        <v>0.5500000000465661</v>
      </c>
      <c r="L30" s="166" t="s">
        <v>82</v>
      </c>
      <c r="M30" s="167" t="s">
        <v>82</v>
      </c>
      <c r="N30" s="167" t="s">
        <v>82</v>
      </c>
      <c r="O30" s="152" t="s">
        <v>17</v>
      </c>
      <c r="P30" s="163"/>
      <c r="Q30" s="35">
        <f t="shared" si="11"/>
        <v>1</v>
      </c>
      <c r="R30" s="35">
        <f t="shared" si="12"/>
      </c>
      <c r="S30" s="35">
        <f t="shared" si="13"/>
      </c>
      <c r="T30" s="36">
        <f t="shared" si="14"/>
        <v>1</v>
      </c>
      <c r="U30" s="30"/>
      <c r="V30" s="30"/>
      <c r="W30" s="30"/>
    </row>
    <row r="31" spans="1:23" s="136" customFormat="1" ht="15.75" customHeight="1">
      <c r="A31" s="139">
        <v>20</v>
      </c>
      <c r="B31" s="140">
        <v>43429.97638888889</v>
      </c>
      <c r="C31" s="140">
        <v>43432.9875</v>
      </c>
      <c r="D31" s="153">
        <f>(C31-B31)*24</f>
        <v>72.26666666666279</v>
      </c>
      <c r="E31" s="140" t="s">
        <v>83</v>
      </c>
      <c r="F31" s="141">
        <v>106928</v>
      </c>
      <c r="G31" s="142"/>
      <c r="H31" s="140">
        <v>43432.9875</v>
      </c>
      <c r="I31" s="158">
        <v>43433.009722222225</v>
      </c>
      <c r="J31" s="153">
        <f>(I31-H31)*24</f>
        <v>0.5333333333255723</v>
      </c>
      <c r="K31" s="169">
        <f>(I31-H31)*24</f>
        <v>0.5333333333255723</v>
      </c>
      <c r="L31" s="143" t="s">
        <v>68</v>
      </c>
      <c r="M31" s="144" t="s">
        <v>68</v>
      </c>
      <c r="N31" s="144" t="s">
        <v>68</v>
      </c>
      <c r="O31" s="145" t="s">
        <v>17</v>
      </c>
      <c r="P31" s="140"/>
      <c r="Q31" s="35">
        <f t="shared" si="11"/>
        <v>1</v>
      </c>
      <c r="R31" s="35">
        <f t="shared" si="12"/>
      </c>
      <c r="S31" s="35">
        <f t="shared" si="13"/>
      </c>
      <c r="T31" s="36">
        <f aca="true" t="shared" si="15" ref="T31:T39">SUM(Q31:S31)</f>
        <v>1</v>
      </c>
      <c r="U31" s="135"/>
      <c r="V31" s="135"/>
      <c r="W31" s="135"/>
    </row>
    <row r="32" spans="1:23" s="138" customFormat="1" ht="12.75">
      <c r="A32" s="146">
        <v>21</v>
      </c>
      <c r="B32" s="147">
        <v>43433.009722222225</v>
      </c>
      <c r="C32" s="147">
        <v>43437.333333333336</v>
      </c>
      <c r="D32" s="94">
        <f>(C32-B32)*24</f>
        <v>103.76666666666279</v>
      </c>
      <c r="E32" s="147" t="s">
        <v>67</v>
      </c>
      <c r="F32" s="148"/>
      <c r="G32" s="149"/>
      <c r="H32" s="147"/>
      <c r="I32" s="147"/>
      <c r="J32" s="94">
        <f>(I32-H32)*24</f>
        <v>0</v>
      </c>
      <c r="K32" s="156">
        <f>(I32-H32)*24</f>
        <v>0</v>
      </c>
      <c r="L32" s="150"/>
      <c r="M32" s="151"/>
      <c r="N32" s="151"/>
      <c r="O32" s="152" t="s">
        <v>21</v>
      </c>
      <c r="P32" s="147"/>
      <c r="Q32" s="35">
        <f t="shared" si="11"/>
      </c>
      <c r="R32" s="35">
        <f t="shared" si="12"/>
        <v>1</v>
      </c>
      <c r="S32" s="35">
        <f t="shared" si="13"/>
      </c>
      <c r="T32" s="36">
        <f t="shared" si="15"/>
        <v>1</v>
      </c>
      <c r="U32" s="137"/>
      <c r="V32" s="137"/>
      <c r="W32" s="137"/>
    </row>
    <row r="33" spans="1:23" s="34" customFormat="1" ht="12.75">
      <c r="A33" s="124"/>
      <c r="B33" s="125"/>
      <c r="C33" s="125"/>
      <c r="D33" s="126">
        <f>SUM(D30:D32)</f>
        <v>238.91666666662786</v>
      </c>
      <c r="E33" s="127"/>
      <c r="F33" s="128"/>
      <c r="G33" s="129"/>
      <c r="H33" s="130"/>
      <c r="I33" s="130"/>
      <c r="J33" s="157">
        <f>SUM(J30:J32)</f>
        <v>1.0833333333721384</v>
      </c>
      <c r="K33" s="157">
        <f>SUM(K30:K32)</f>
        <v>1.0833333333721384</v>
      </c>
      <c r="L33" s="131"/>
      <c r="M33" s="132"/>
      <c r="N33" s="132"/>
      <c r="O33" s="133"/>
      <c r="P33" s="127"/>
      <c r="Q33" s="35">
        <f t="shared" si="11"/>
      </c>
      <c r="R33" s="35">
        <f t="shared" si="12"/>
      </c>
      <c r="S33" s="35">
        <f t="shared" si="13"/>
      </c>
      <c r="T33" s="36">
        <f t="shared" si="15"/>
        <v>0</v>
      </c>
      <c r="U33" s="30"/>
      <c r="V33" s="30"/>
      <c r="W33" s="30"/>
    </row>
    <row r="34" spans="1:23" s="34" customFormat="1" ht="12.75">
      <c r="A34" s="161"/>
      <c r="B34" s="162"/>
      <c r="C34" s="162"/>
      <c r="D34" s="94">
        <f>(C34-B34)*24</f>
        <v>0</v>
      </c>
      <c r="E34" s="163"/>
      <c r="F34" s="164">
        <v>106933</v>
      </c>
      <c r="G34" s="165"/>
      <c r="H34" s="162">
        <v>43438.333333333336</v>
      </c>
      <c r="I34" s="162">
        <v>43438.419444444444</v>
      </c>
      <c r="J34" s="94">
        <f>(I34-H34)*24</f>
        <v>2.066666666592937</v>
      </c>
      <c r="K34" s="156">
        <f>(I34-H34)*24</f>
        <v>2.066666666592937</v>
      </c>
      <c r="L34" s="166" t="s">
        <v>24</v>
      </c>
      <c r="M34" s="167" t="s">
        <v>24</v>
      </c>
      <c r="N34" s="167" t="s">
        <v>24</v>
      </c>
      <c r="O34" s="152" t="s">
        <v>84</v>
      </c>
      <c r="P34" s="163" t="s">
        <v>86</v>
      </c>
      <c r="Q34" s="35">
        <f t="shared" si="11"/>
      </c>
      <c r="R34" s="35">
        <f t="shared" si="12"/>
      </c>
      <c r="S34" s="35">
        <f>IF($O34="Inhibits beam to user",1,"")</f>
        <v>1</v>
      </c>
      <c r="T34" s="36">
        <f t="shared" si="15"/>
        <v>1</v>
      </c>
      <c r="U34" s="30"/>
      <c r="V34" s="30"/>
      <c r="W34" s="30"/>
    </row>
    <row r="35" spans="1:23" s="136" customFormat="1" ht="15.75" customHeight="1">
      <c r="A35" s="139">
        <v>23</v>
      </c>
      <c r="B35" s="140">
        <v>43438.419444444444</v>
      </c>
      <c r="C35" s="140">
        <v>43441.67986111111</v>
      </c>
      <c r="D35" s="153">
        <f>(C35-B35)*24</f>
        <v>78.24999999994179</v>
      </c>
      <c r="E35" s="140" t="s">
        <v>85</v>
      </c>
      <c r="F35" s="141">
        <v>106934</v>
      </c>
      <c r="G35" s="142"/>
      <c r="H35" s="140">
        <v>43441.67986111111</v>
      </c>
      <c r="I35" s="158">
        <v>43441.70972222222</v>
      </c>
      <c r="J35" s="153">
        <f>(I35-H35)*24</f>
        <v>0.7166666667326353</v>
      </c>
      <c r="K35" s="169">
        <f>(I35-H35)*24</f>
        <v>0.7166666667326353</v>
      </c>
      <c r="L35" s="143" t="s">
        <v>65</v>
      </c>
      <c r="M35" s="144" t="s">
        <v>65</v>
      </c>
      <c r="N35" s="144" t="s">
        <v>65</v>
      </c>
      <c r="O35" s="145" t="s">
        <v>17</v>
      </c>
      <c r="P35" s="140"/>
      <c r="Q35" s="35">
        <f t="shared" si="11"/>
        <v>1</v>
      </c>
      <c r="R35" s="35">
        <f t="shared" si="12"/>
      </c>
      <c r="S35" s="35">
        <f t="shared" si="13"/>
      </c>
      <c r="T35" s="36">
        <f t="shared" si="15"/>
        <v>1</v>
      </c>
      <c r="U35" s="135"/>
      <c r="V35" s="135"/>
      <c r="W35" s="135"/>
    </row>
    <row r="36" spans="1:23" s="138" customFormat="1" ht="12.75">
      <c r="A36" s="146">
        <v>24</v>
      </c>
      <c r="B36" s="147">
        <v>43441.70972222222</v>
      </c>
      <c r="C36" s="147">
        <v>43444.333333333336</v>
      </c>
      <c r="D36" s="94">
        <f>(C36-B36)*24</f>
        <v>62.966666666732635</v>
      </c>
      <c r="E36" s="147" t="s">
        <v>67</v>
      </c>
      <c r="F36" s="148"/>
      <c r="G36" s="149"/>
      <c r="H36" s="147"/>
      <c r="I36" s="147"/>
      <c r="J36" s="94">
        <f>(I36-H36)*24</f>
        <v>0</v>
      </c>
      <c r="K36" s="156">
        <f>(I36-H36)*24</f>
        <v>0</v>
      </c>
      <c r="L36" s="150"/>
      <c r="M36" s="151"/>
      <c r="N36" s="151"/>
      <c r="O36" s="152" t="s">
        <v>21</v>
      </c>
      <c r="P36" s="147"/>
      <c r="Q36" s="35">
        <f t="shared" si="11"/>
      </c>
      <c r="R36" s="35">
        <f t="shared" si="12"/>
        <v>1</v>
      </c>
      <c r="S36" s="35">
        <f t="shared" si="13"/>
      </c>
      <c r="T36" s="36">
        <f t="shared" si="15"/>
        <v>1</v>
      </c>
      <c r="U36" s="137"/>
      <c r="V36" s="137"/>
      <c r="W36" s="137"/>
    </row>
    <row r="37" spans="1:23" s="34" customFormat="1" ht="12.75">
      <c r="A37" s="124"/>
      <c r="B37" s="125"/>
      <c r="C37" s="125"/>
      <c r="D37" s="126">
        <f>SUM(D34:D36)</f>
        <v>141.21666666667443</v>
      </c>
      <c r="E37" s="127"/>
      <c r="F37" s="128"/>
      <c r="G37" s="129"/>
      <c r="H37" s="130"/>
      <c r="I37" s="130"/>
      <c r="J37" s="157">
        <f>SUM(J34:J36)</f>
        <v>2.7833333333255723</v>
      </c>
      <c r="K37" s="157">
        <f>SUM(K34:K36)</f>
        <v>2.7833333333255723</v>
      </c>
      <c r="L37" s="131"/>
      <c r="M37" s="132"/>
      <c r="N37" s="132"/>
      <c r="O37" s="133"/>
      <c r="P37" s="127"/>
      <c r="Q37" s="35">
        <f t="shared" si="11"/>
      </c>
      <c r="R37" s="35">
        <f t="shared" si="12"/>
      </c>
      <c r="S37" s="35">
        <f t="shared" si="13"/>
      </c>
      <c r="T37" s="36">
        <f t="shared" si="15"/>
        <v>0</v>
      </c>
      <c r="U37" s="30"/>
      <c r="V37" s="30"/>
      <c r="W37" s="30"/>
    </row>
    <row r="38" spans="1:23" s="136" customFormat="1" ht="15.75" customHeight="1">
      <c r="A38" s="168"/>
      <c r="B38" s="158"/>
      <c r="C38" s="158"/>
      <c r="D38" s="169">
        <f>(C38-B38)*24</f>
        <v>0</v>
      </c>
      <c r="E38" s="158"/>
      <c r="F38" s="170">
        <v>106940</v>
      </c>
      <c r="G38" s="171"/>
      <c r="H38" s="158">
        <v>43445.333333333336</v>
      </c>
      <c r="I38" s="158">
        <v>43445.46319444444</v>
      </c>
      <c r="J38" s="169">
        <f>(I38-H38)*24</f>
        <v>3.1166666665230878</v>
      </c>
      <c r="K38" s="169">
        <f>(I38-H38)*24</f>
        <v>3.1166666665230878</v>
      </c>
      <c r="L38" s="172" t="s">
        <v>23</v>
      </c>
      <c r="M38" s="173" t="s">
        <v>23</v>
      </c>
      <c r="N38" s="173" t="s">
        <v>23</v>
      </c>
      <c r="O38" s="174" t="s">
        <v>84</v>
      </c>
      <c r="P38" s="158"/>
      <c r="Q38" s="35">
        <f t="shared" si="11"/>
      </c>
      <c r="R38" s="35">
        <f t="shared" si="12"/>
      </c>
      <c r="S38" s="35">
        <f t="shared" si="13"/>
        <v>1</v>
      </c>
      <c r="T38" s="36">
        <f t="shared" si="15"/>
        <v>1</v>
      </c>
      <c r="U38" s="135"/>
      <c r="V38" s="135"/>
      <c r="W38" s="135"/>
    </row>
    <row r="39" spans="1:23" s="34" customFormat="1" ht="12.75">
      <c r="A39" s="161">
        <v>25</v>
      </c>
      <c r="B39" s="162">
        <v>43445.46319444444</v>
      </c>
      <c r="C39" s="162">
        <v>43445.55972222222</v>
      </c>
      <c r="D39" s="94">
        <f>(C39-B39)*24</f>
        <v>2.3166666667093523</v>
      </c>
      <c r="E39" s="163" t="s">
        <v>87</v>
      </c>
      <c r="F39" s="164">
        <v>106941</v>
      </c>
      <c r="G39" s="165"/>
      <c r="H39" s="162">
        <v>43445.55972222222</v>
      </c>
      <c r="I39" s="162">
        <v>43445.77916666667</v>
      </c>
      <c r="J39" s="94">
        <f>(I39-H39)*24</f>
        <v>5.266666666720994</v>
      </c>
      <c r="K39" s="156">
        <f>(I39-H39)*24</f>
        <v>5.266666666720994</v>
      </c>
      <c r="L39" s="166" t="s">
        <v>23</v>
      </c>
      <c r="M39" s="167" t="s">
        <v>23</v>
      </c>
      <c r="N39" s="167" t="s">
        <v>23</v>
      </c>
      <c r="O39" s="152" t="s">
        <v>17</v>
      </c>
      <c r="P39" s="163"/>
      <c r="Q39" s="35">
        <f t="shared" si="11"/>
        <v>1</v>
      </c>
      <c r="R39" s="35">
        <f t="shared" si="12"/>
      </c>
      <c r="S39" s="35">
        <f t="shared" si="13"/>
      </c>
      <c r="T39" s="36">
        <f t="shared" si="15"/>
        <v>1</v>
      </c>
      <c r="U39" s="30"/>
      <c r="V39" s="30"/>
      <c r="W39" s="30"/>
    </row>
    <row r="40" spans="1:23" s="136" customFormat="1" ht="15.75" customHeight="1">
      <c r="A40" s="139">
        <v>27</v>
      </c>
      <c r="B40" s="140">
        <v>43445.77916666667</v>
      </c>
      <c r="C40" s="140">
        <v>43447.10208333333</v>
      </c>
      <c r="D40" s="153">
        <f>(C40-B40)*24</f>
        <v>31.749999999941792</v>
      </c>
      <c r="E40" s="140" t="s">
        <v>88</v>
      </c>
      <c r="F40" s="141">
        <v>106943</v>
      </c>
      <c r="G40" s="142"/>
      <c r="H40" s="140">
        <v>43447.10208333333</v>
      </c>
      <c r="I40" s="158">
        <v>43447.24930555555</v>
      </c>
      <c r="J40" s="153">
        <f>(I40-H40)*24</f>
        <v>3.5333333333255723</v>
      </c>
      <c r="K40" s="169">
        <f>(I40-H40)*24</f>
        <v>3.5333333333255723</v>
      </c>
      <c r="L40" s="143" t="s">
        <v>22</v>
      </c>
      <c r="M40" s="144" t="s">
        <v>22</v>
      </c>
      <c r="N40" s="144" t="s">
        <v>22</v>
      </c>
      <c r="O40" s="145" t="s">
        <v>17</v>
      </c>
      <c r="P40" s="140"/>
      <c r="Q40" s="35">
        <f t="shared" si="11"/>
        <v>1</v>
      </c>
      <c r="R40" s="35">
        <f t="shared" si="12"/>
      </c>
      <c r="S40" s="35">
        <f t="shared" si="13"/>
      </c>
      <c r="T40" s="36">
        <f>SUM(Q40:S40)</f>
        <v>1</v>
      </c>
      <c r="U40" s="135"/>
      <c r="V40" s="135"/>
      <c r="W40" s="135"/>
    </row>
    <row r="41" spans="1:23" s="138" customFormat="1" ht="12.75">
      <c r="A41" s="146">
        <v>28</v>
      </c>
      <c r="B41" s="147">
        <v>43447.24930555555</v>
      </c>
      <c r="C41" s="147">
        <v>43451.333333333336</v>
      </c>
      <c r="D41" s="94">
        <f>(C41-B41)*24</f>
        <v>98.0166666667792</v>
      </c>
      <c r="E41" s="147" t="s">
        <v>67</v>
      </c>
      <c r="F41" s="148"/>
      <c r="G41" s="149"/>
      <c r="H41" s="147"/>
      <c r="I41" s="147"/>
      <c r="J41" s="94">
        <f>(I41-H41)*24</f>
        <v>0</v>
      </c>
      <c r="K41" s="156">
        <f>(I41-H41)*24</f>
        <v>0</v>
      </c>
      <c r="L41" s="150"/>
      <c r="M41" s="151"/>
      <c r="N41" s="151"/>
      <c r="O41" s="152" t="s">
        <v>21</v>
      </c>
      <c r="P41" s="147"/>
      <c r="Q41" s="35">
        <f t="shared" si="11"/>
      </c>
      <c r="R41" s="35">
        <f t="shared" si="12"/>
        <v>1</v>
      </c>
      <c r="S41" s="35">
        <f t="shared" si="13"/>
      </c>
      <c r="T41" s="36">
        <f>SUM(Q41:S41)</f>
        <v>1</v>
      </c>
      <c r="U41" s="137"/>
      <c r="V41" s="137"/>
      <c r="W41" s="137"/>
    </row>
    <row r="42" spans="1:23" s="34" customFormat="1" ht="12.75">
      <c r="A42" s="124"/>
      <c r="B42" s="125"/>
      <c r="C42" s="125"/>
      <c r="D42" s="126">
        <f>SUM(D38:D41)</f>
        <v>132.08333333343035</v>
      </c>
      <c r="E42" s="127"/>
      <c r="F42" s="128"/>
      <c r="G42" s="129"/>
      <c r="H42" s="130"/>
      <c r="I42" s="130"/>
      <c r="J42" s="157">
        <f>SUM(J38:J41)</f>
        <v>11.916666666569654</v>
      </c>
      <c r="K42" s="157">
        <f>SUM(K38:K41)</f>
        <v>11.916666666569654</v>
      </c>
      <c r="L42" s="131"/>
      <c r="M42" s="132"/>
      <c r="N42" s="132"/>
      <c r="O42" s="133"/>
      <c r="P42" s="127"/>
      <c r="Q42" s="35">
        <f t="shared" si="11"/>
      </c>
      <c r="R42" s="35">
        <f t="shared" si="12"/>
      </c>
      <c r="S42" s="35">
        <f t="shared" si="13"/>
      </c>
      <c r="T42" s="36">
        <f>SUM(Q42:S42)</f>
        <v>0</v>
      </c>
      <c r="U42" s="30"/>
      <c r="V42" s="30"/>
      <c r="W42" s="30"/>
    </row>
    <row r="43" spans="1:20" ht="12.75">
      <c r="A43" s="85"/>
      <c r="B43" s="86"/>
      <c r="C43" s="86"/>
      <c r="D43" s="49"/>
      <c r="E43" s="87"/>
      <c r="F43" s="88"/>
      <c r="G43" s="89"/>
      <c r="H43" s="86"/>
      <c r="I43" s="86"/>
      <c r="J43" s="90"/>
      <c r="K43" s="90"/>
      <c r="L43" s="91"/>
      <c r="M43" s="92"/>
      <c r="N43" s="92"/>
      <c r="O43" s="93"/>
      <c r="P43" s="87"/>
      <c r="Q43" s="30"/>
      <c r="R43" s="30"/>
      <c r="S43" s="30"/>
      <c r="T43" s="30"/>
    </row>
    <row r="44" spans="1:20" ht="12.75">
      <c r="A44" s="85"/>
      <c r="B44" s="86"/>
      <c r="C44" s="86"/>
      <c r="D44" s="49"/>
      <c r="E44" s="87"/>
      <c r="F44" s="88"/>
      <c r="G44" s="89"/>
      <c r="H44" s="86"/>
      <c r="I44" s="86"/>
      <c r="J44" s="90"/>
      <c r="K44" s="90"/>
      <c r="L44" s="91"/>
      <c r="M44" s="92"/>
      <c r="N44" s="92"/>
      <c r="O44" s="93"/>
      <c r="P44" s="87"/>
      <c r="Q44" s="30"/>
      <c r="R44" s="30"/>
      <c r="S44" s="30"/>
      <c r="T44" s="30"/>
    </row>
    <row r="45" spans="1:18" ht="12.75">
      <c r="A45" s="28"/>
      <c r="B45" s="14"/>
      <c r="C45" s="37" t="s">
        <v>25</v>
      </c>
      <c r="D45" s="38">
        <f>Q47</f>
        <v>16</v>
      </c>
      <c r="E45" s="16"/>
      <c r="F45" s="29"/>
      <c r="G45" s="18"/>
      <c r="H45" s="19"/>
      <c r="I45" s="19"/>
      <c r="J45" s="39" t="s">
        <v>26</v>
      </c>
      <c r="K45" s="40"/>
      <c r="L45" s="21"/>
      <c r="M45" s="22"/>
      <c r="N45" s="22"/>
      <c r="O45" s="41"/>
      <c r="P45" s="23"/>
      <c r="R45" s="12">
        <f>IF($L45="Scheduled",1,"")</f>
      </c>
    </row>
    <row r="46" spans="1:18" ht="12.75">
      <c r="A46" s="28"/>
      <c r="B46" s="14"/>
      <c r="C46" s="37" t="s">
        <v>27</v>
      </c>
      <c r="D46" s="38">
        <f>D47-D45</f>
        <v>10</v>
      </c>
      <c r="E46" s="16"/>
      <c r="F46" s="29"/>
      <c r="G46" s="18"/>
      <c r="H46" s="19"/>
      <c r="I46" s="19"/>
      <c r="J46" s="15" t="s">
        <v>28</v>
      </c>
      <c r="K46" s="42" t="s">
        <v>13</v>
      </c>
      <c r="L46" s="21"/>
      <c r="M46" s="22"/>
      <c r="N46" s="22"/>
      <c r="O46" s="41"/>
      <c r="P46" s="23"/>
      <c r="R46" s="12">
        <f>IF($L46="Scheduled",1,"")</f>
      </c>
    </row>
    <row r="47" spans="1:29" ht="12.75">
      <c r="A47" s="28"/>
      <c r="B47" s="14"/>
      <c r="C47" s="37" t="s">
        <v>29</v>
      </c>
      <c r="D47" s="43">
        <f>COUNT(A5:A43)</f>
        <v>26</v>
      </c>
      <c r="E47" s="16"/>
      <c r="F47" s="29"/>
      <c r="G47" s="18"/>
      <c r="H47" s="19"/>
      <c r="I47" s="19"/>
      <c r="J47" s="44">
        <f>SUM(J5:J43)/2</f>
        <v>34.63333333324408</v>
      </c>
      <c r="K47" s="44">
        <f>SUM(K5:K43)/2</f>
        <v>34.63333333324408</v>
      </c>
      <c r="L47" s="21"/>
      <c r="M47" s="22"/>
      <c r="N47" s="22"/>
      <c r="O47" s="41"/>
      <c r="P47" s="23"/>
      <c r="Q47" s="43">
        <f>SUM(Q1:Q43)</f>
        <v>16</v>
      </c>
      <c r="R47" s="43">
        <f>SUM(R1:R43)</f>
        <v>10</v>
      </c>
      <c r="S47" s="43">
        <f>SUM(S1:S43)</f>
        <v>2</v>
      </c>
      <c r="T47" s="43">
        <f>SUM(T1:T43)</f>
        <v>28</v>
      </c>
      <c r="AA47" s="30"/>
      <c r="AB47" s="30"/>
      <c r="AC47" s="30"/>
    </row>
    <row r="48" spans="1:19" ht="12.75">
      <c r="A48" s="28"/>
      <c r="B48" s="14"/>
      <c r="C48" s="37"/>
      <c r="D48" s="15"/>
      <c r="E48" s="16"/>
      <c r="F48" s="29"/>
      <c r="G48" s="18"/>
      <c r="H48" s="19"/>
      <c r="I48" s="19"/>
      <c r="J48" s="15"/>
      <c r="K48" s="20"/>
      <c r="L48" s="21"/>
      <c r="M48" s="22"/>
      <c r="N48" s="22"/>
      <c r="O48" s="21"/>
      <c r="P48" s="23"/>
      <c r="Q48" s="12" t="s">
        <v>30</v>
      </c>
      <c r="R48" s="45" t="s">
        <v>21</v>
      </c>
      <c r="S48" s="12" t="s">
        <v>31</v>
      </c>
    </row>
    <row r="49" spans="1:26" ht="12.75">
      <c r="A49" s="28"/>
      <c r="B49" s="14"/>
      <c r="C49" s="37" t="s">
        <v>32</v>
      </c>
      <c r="D49" s="15">
        <f>SUM(D4:D43)/2</f>
        <v>1526.366666666756</v>
      </c>
      <c r="E49" s="46">
        <f>D49/24</f>
        <v>63.59861111111483</v>
      </c>
      <c r="F49" s="47" t="s">
        <v>33</v>
      </c>
      <c r="G49" s="18"/>
      <c r="H49" s="19"/>
      <c r="I49" s="19"/>
      <c r="J49" s="15"/>
      <c r="K49" s="20"/>
      <c r="L49" s="21"/>
      <c r="M49" s="22"/>
      <c r="N49" s="22"/>
      <c r="O49" s="21"/>
      <c r="P49" s="23"/>
      <c r="Q49" s="12">
        <f>IF($O51="Store Lost",1,"")</f>
      </c>
      <c r="T49" s="48"/>
      <c r="U49" s="30"/>
      <c r="V49" s="30"/>
      <c r="W49" s="30"/>
      <c r="X49" s="30"/>
      <c r="Y49" s="30"/>
      <c r="Z49" s="30"/>
    </row>
    <row r="50" spans="1:17" ht="12.75">
      <c r="A50" s="28"/>
      <c r="B50" s="14"/>
      <c r="C50" s="37" t="s">
        <v>34</v>
      </c>
      <c r="D50" s="15">
        <f>J47</f>
        <v>34.63333333324408</v>
      </c>
      <c r="E50" s="16" t="s">
        <v>35</v>
      </c>
      <c r="F50" s="29"/>
      <c r="G50" s="18"/>
      <c r="H50" s="19"/>
      <c r="I50" s="19"/>
      <c r="J50" s="15"/>
      <c r="K50" s="20"/>
      <c r="L50" s="21"/>
      <c r="M50" s="22"/>
      <c r="N50" s="22"/>
      <c r="O50" s="21"/>
      <c r="P50" s="23"/>
      <c r="Q50" s="12">
        <f>IF($O52="Store Lost",1,"")</f>
      </c>
    </row>
    <row r="51" spans="1:17" ht="12.75">
      <c r="A51" s="28"/>
      <c r="B51" s="14"/>
      <c r="C51" s="37" t="s">
        <v>36</v>
      </c>
      <c r="D51" s="43">
        <f>SUM(D49:D50)</f>
        <v>1561</v>
      </c>
      <c r="E51" s="46"/>
      <c r="F51" s="29"/>
      <c r="G51" s="18"/>
      <c r="H51" s="19"/>
      <c r="I51" s="19"/>
      <c r="J51" s="15"/>
      <c r="K51" s="20"/>
      <c r="L51" s="21"/>
      <c r="M51" s="22"/>
      <c r="N51" s="22"/>
      <c r="O51" s="21"/>
      <c r="P51" s="23"/>
      <c r="Q51" s="12" t="e">
        <f>IF(#REF!="Store Lost",1,"")</f>
        <v>#REF!</v>
      </c>
    </row>
    <row r="52" spans="1:18" ht="12.75">
      <c r="A52" s="28"/>
      <c r="B52" s="14"/>
      <c r="C52" s="37"/>
      <c r="D52" s="49"/>
      <c r="E52" s="50"/>
      <c r="F52" s="29"/>
      <c r="G52" s="18"/>
      <c r="H52" s="15"/>
      <c r="I52" s="19"/>
      <c r="J52" s="15"/>
      <c r="K52" s="20"/>
      <c r="L52" s="21"/>
      <c r="M52" s="22"/>
      <c r="N52" s="22"/>
      <c r="O52" s="21"/>
      <c r="P52" s="23"/>
      <c r="Q52" s="51">
        <f>Q47+R47</f>
        <v>26</v>
      </c>
      <c r="R52" s="12">
        <f>IF($P53="Store Lost",1,"")</f>
      </c>
    </row>
    <row r="53" spans="1:18" ht="12.75">
      <c r="A53" s="28"/>
      <c r="B53" s="14"/>
      <c r="C53" s="37" t="s">
        <v>37</v>
      </c>
      <c r="D53" s="52">
        <f>IF(D45,D49/D45,D49)</f>
        <v>95.39791666667224</v>
      </c>
      <c r="E53" s="16"/>
      <c r="F53" s="29"/>
      <c r="G53" s="18"/>
      <c r="J53" s="7"/>
      <c r="K53" s="53"/>
      <c r="Q53" s="23"/>
      <c r="R53" s="12">
        <f>IF($P55="Store Lost",1,"")</f>
      </c>
    </row>
    <row r="54" spans="1:18" ht="12.75">
      <c r="A54" s="28"/>
      <c r="B54" s="14"/>
      <c r="C54" s="37" t="s">
        <v>38</v>
      </c>
      <c r="D54" s="49">
        <f>IF(D45,24/D53,0)</f>
        <v>0.25157782096917136</v>
      </c>
      <c r="E54" s="54"/>
      <c r="F54" s="55"/>
      <c r="G54" s="56"/>
      <c r="K54" s="53"/>
      <c r="Q54" s="23"/>
      <c r="R54" s="12" t="e">
        <f>NA()</f>
        <v>#N/A</v>
      </c>
    </row>
    <row r="55" spans="1:18" ht="27" customHeight="1">
      <c r="A55" s="28"/>
      <c r="B55" s="14"/>
      <c r="C55" s="37" t="s">
        <v>39</v>
      </c>
      <c r="D55" s="57">
        <f>D49/D51</f>
        <v>0.9778133674995233</v>
      </c>
      <c r="E55" s="58"/>
      <c r="F55" s="29"/>
      <c r="G55" s="18"/>
      <c r="K55" s="53"/>
      <c r="Q55" s="23"/>
      <c r="R55" s="12" t="e">
        <f>NA()</f>
        <v>#N/A</v>
      </c>
    </row>
    <row r="56" spans="1:18" ht="12.75">
      <c r="A56" s="28"/>
      <c r="B56" s="14"/>
      <c r="C56" s="14"/>
      <c r="D56" s="15"/>
      <c r="E56" s="16"/>
      <c r="F56" s="29"/>
      <c r="G56" s="18"/>
      <c r="K56" s="53"/>
      <c r="Q56" s="23"/>
      <c r="R56" s="12">
        <f aca="true" t="shared" si="16" ref="R56:R65">IF($P58="Store Lost",1,"")</f>
      </c>
    </row>
    <row r="57" spans="1:29" s="59" customFormat="1" ht="12.75">
      <c r="A57" s="28"/>
      <c r="B57" s="14"/>
      <c r="C57" s="14"/>
      <c r="D57" s="15"/>
      <c r="E57" s="16"/>
      <c r="F57" s="29"/>
      <c r="G57" s="18"/>
      <c r="H57" s="7"/>
      <c r="I57" s="7"/>
      <c r="J57" s="3"/>
      <c r="K57" s="53"/>
      <c r="L57" s="9"/>
      <c r="M57" s="10"/>
      <c r="N57" s="10"/>
      <c r="O57" s="9"/>
      <c r="P57" s="11"/>
      <c r="Q57" s="23"/>
      <c r="R57" s="12">
        <f t="shared" si="16"/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18" ht="12.75">
      <c r="A58" s="28"/>
      <c r="B58" s="14"/>
      <c r="C58" s="14"/>
      <c r="D58" s="15"/>
      <c r="E58" s="16"/>
      <c r="F58" s="29"/>
      <c r="G58" s="18"/>
      <c r="K58" s="53"/>
      <c r="Q58" s="23"/>
      <c r="R58" s="12">
        <f t="shared" si="16"/>
      </c>
    </row>
    <row r="59" spans="1:18" ht="12.75">
      <c r="A59" s="28"/>
      <c r="B59" s="14"/>
      <c r="C59" s="14"/>
      <c r="D59" s="15"/>
      <c r="E59" s="16"/>
      <c r="F59" s="29"/>
      <c r="G59" s="18"/>
      <c r="K59" s="53"/>
      <c r="Q59" s="23"/>
      <c r="R59" s="12">
        <f t="shared" si="16"/>
      </c>
    </row>
    <row r="60" spans="1:18" ht="12.75">
      <c r="A60" s="28"/>
      <c r="B60" s="14"/>
      <c r="C60" s="14"/>
      <c r="D60" s="15"/>
      <c r="E60" s="16"/>
      <c r="F60" s="29"/>
      <c r="G60" s="18"/>
      <c r="K60" s="53"/>
      <c r="Q60" s="23"/>
      <c r="R60" s="12">
        <f t="shared" si="16"/>
      </c>
    </row>
    <row r="61" spans="1:18" ht="12.75">
      <c r="A61" s="28"/>
      <c r="B61" s="14"/>
      <c r="C61" s="14"/>
      <c r="D61" s="15"/>
      <c r="E61" s="16"/>
      <c r="F61" s="29"/>
      <c r="G61" s="18"/>
      <c r="K61" s="53"/>
      <c r="Q61" s="23"/>
      <c r="R61" s="12">
        <f t="shared" si="16"/>
      </c>
    </row>
    <row r="62" spans="1:18" ht="12.75">
      <c r="A62" s="28"/>
      <c r="B62" s="14"/>
      <c r="C62" s="14"/>
      <c r="D62" s="15"/>
      <c r="E62" s="16"/>
      <c r="F62" s="29"/>
      <c r="G62" s="18"/>
      <c r="K62" s="53"/>
      <c r="Q62" s="23"/>
      <c r="R62" s="12">
        <f t="shared" si="16"/>
      </c>
    </row>
    <row r="63" spans="1:18" ht="12.75">
      <c r="A63" s="28"/>
      <c r="B63" s="14"/>
      <c r="C63" s="14"/>
      <c r="D63" s="15"/>
      <c r="E63" s="16"/>
      <c r="F63" s="29"/>
      <c r="G63" s="18"/>
      <c r="K63" s="53"/>
      <c r="Q63" s="23"/>
      <c r="R63" s="12">
        <f t="shared" si="16"/>
      </c>
    </row>
    <row r="64" spans="1:18" ht="12.75">
      <c r="A64" s="28"/>
      <c r="B64" s="14"/>
      <c r="C64" s="14"/>
      <c r="D64" s="15"/>
      <c r="E64" s="16"/>
      <c r="F64" s="29"/>
      <c r="G64" s="18"/>
      <c r="K64" s="53"/>
      <c r="Q64" s="23"/>
      <c r="R64" s="12">
        <f t="shared" si="16"/>
      </c>
    </row>
    <row r="65" spans="1:18" ht="12.75">
      <c r="A65" s="28"/>
      <c r="B65" s="14"/>
      <c r="C65" s="14"/>
      <c r="D65" s="15"/>
      <c r="E65" s="16"/>
      <c r="F65" s="29"/>
      <c r="G65" s="18"/>
      <c r="K65" s="53"/>
      <c r="Q65" s="23"/>
      <c r="R65" s="12">
        <f t="shared" si="16"/>
      </c>
    </row>
    <row r="66" spans="1:29" s="60" customFormat="1" ht="12.75">
      <c r="A66" s="28"/>
      <c r="B66" s="14"/>
      <c r="C66" s="14"/>
      <c r="D66" s="15"/>
      <c r="E66" s="16"/>
      <c r="F66" s="29"/>
      <c r="G66" s="18"/>
      <c r="H66" s="7"/>
      <c r="I66" s="7"/>
      <c r="J66" s="3"/>
      <c r="K66" s="53"/>
      <c r="L66" s="9"/>
      <c r="M66" s="10"/>
      <c r="N66" s="10"/>
      <c r="O66" s="9"/>
      <c r="P66" s="11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1:29" s="30" customFormat="1" ht="12.75">
      <c r="A67" s="28"/>
      <c r="B67" s="14"/>
      <c r="C67" s="14"/>
      <c r="D67" s="15"/>
      <c r="E67" s="16"/>
      <c r="F67" s="29"/>
      <c r="G67" s="18"/>
      <c r="H67" s="7"/>
      <c r="I67" s="7"/>
      <c r="J67" s="3"/>
      <c r="K67" s="53"/>
      <c r="L67" s="9"/>
      <c r="M67" s="10"/>
      <c r="N67" s="10"/>
      <c r="O67" s="9"/>
      <c r="P67" s="11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59"/>
      <c r="AB67" s="59"/>
      <c r="AC67" s="59"/>
    </row>
    <row r="68" spans="1:16" ht="12.75">
      <c r="A68" s="28"/>
      <c r="B68" s="14"/>
      <c r="C68" s="14"/>
      <c r="D68" s="15"/>
      <c r="E68" s="16"/>
      <c r="F68" s="29"/>
      <c r="G68" s="18"/>
      <c r="H68" s="19"/>
      <c r="I68" s="19"/>
      <c r="J68" s="15"/>
      <c r="K68" s="20"/>
      <c r="L68" s="21"/>
      <c r="M68" s="22"/>
      <c r="N68" s="22"/>
      <c r="O68" s="21"/>
      <c r="P68" s="23"/>
    </row>
    <row r="69" spans="1:26" ht="12.75">
      <c r="A69" s="28"/>
      <c r="B69" s="14"/>
      <c r="C69" s="14"/>
      <c r="E69" s="16"/>
      <c r="F69" s="29"/>
      <c r="G69" s="18"/>
      <c r="H69" s="19"/>
      <c r="I69" s="19"/>
      <c r="L69" s="21"/>
      <c r="M69" s="22"/>
      <c r="N69" s="22"/>
      <c r="O69" s="21"/>
      <c r="P69" s="23"/>
      <c r="U69" s="59"/>
      <c r="V69" s="59"/>
      <c r="W69" s="59"/>
      <c r="X69" s="59"/>
      <c r="Y69" s="59"/>
      <c r="Z69" s="59"/>
    </row>
    <row r="70" spans="1:16" ht="12.75">
      <c r="A70" s="28"/>
      <c r="B70" s="14"/>
      <c r="C70" s="14"/>
      <c r="E70" s="16"/>
      <c r="F70" s="29"/>
      <c r="G70" s="18"/>
      <c r="H70" s="19"/>
      <c r="I70" s="19"/>
      <c r="L70" s="21"/>
      <c r="M70" s="22"/>
      <c r="N70" s="22"/>
      <c r="O70" s="21"/>
      <c r="P70" s="23"/>
    </row>
    <row r="71" spans="1:16" ht="12.75">
      <c r="A71" s="28"/>
      <c r="B71" s="14"/>
      <c r="C71" s="14"/>
      <c r="E71" s="16"/>
      <c r="F71" s="29"/>
      <c r="G71" s="18"/>
      <c r="H71" s="19"/>
      <c r="I71" s="19"/>
      <c r="L71" s="21"/>
      <c r="M71" s="22"/>
      <c r="N71" s="22"/>
      <c r="O71" s="21"/>
      <c r="P71" s="23"/>
    </row>
    <row r="72" spans="1:16" ht="12.75">
      <c r="A72" s="28"/>
      <c r="B72" s="14"/>
      <c r="C72" s="14"/>
      <c r="F72" s="29"/>
      <c r="G72" s="18"/>
      <c r="H72" s="19"/>
      <c r="I72" s="19"/>
      <c r="L72" s="21"/>
      <c r="M72" s="22"/>
      <c r="N72" s="22"/>
      <c r="O72" s="21"/>
      <c r="P72" s="23"/>
    </row>
    <row r="73" spans="1:20" ht="12.75">
      <c r="A73" s="28"/>
      <c r="B73" s="14"/>
      <c r="C73" s="14"/>
      <c r="F73" s="29"/>
      <c r="G73" s="18"/>
      <c r="H73" s="19"/>
      <c r="I73" s="19"/>
      <c r="L73" s="21"/>
      <c r="M73" s="22"/>
      <c r="N73" s="22"/>
      <c r="O73" s="21"/>
      <c r="P73" s="23"/>
      <c r="R73" s="59"/>
      <c r="S73" s="59"/>
      <c r="T73" s="59"/>
    </row>
    <row r="74" spans="2:16" ht="12.75">
      <c r="B74" s="14"/>
      <c r="C74" s="14"/>
      <c r="F74" s="29"/>
      <c r="G74" s="18"/>
      <c r="H74" s="19"/>
      <c r="I74" s="19"/>
      <c r="L74" s="21"/>
      <c r="M74" s="22"/>
      <c r="N74" s="22"/>
      <c r="O74" s="21"/>
      <c r="P74" s="23"/>
    </row>
    <row r="75" spans="2:17" ht="12.75">
      <c r="B75" s="14"/>
      <c r="C75" s="14"/>
      <c r="F75" s="29"/>
      <c r="G75" s="18"/>
      <c r="H75" s="19"/>
      <c r="I75" s="19"/>
      <c r="L75" s="21"/>
      <c r="M75" s="22"/>
      <c r="N75" s="22"/>
      <c r="O75" s="21"/>
      <c r="P75" s="23"/>
      <c r="Q75" s="12">
        <f aca="true" t="shared" si="17" ref="Q75:Q106">IF($O77="Store Lost",1,"")</f>
      </c>
    </row>
    <row r="76" spans="2:29" ht="12.75">
      <c r="B76" s="14"/>
      <c r="C76" s="14"/>
      <c r="F76" s="29"/>
      <c r="G76" s="18"/>
      <c r="H76" s="19"/>
      <c r="I76" s="19"/>
      <c r="L76" s="21"/>
      <c r="M76" s="22"/>
      <c r="N76" s="22"/>
      <c r="O76" s="21"/>
      <c r="P76" s="23"/>
      <c r="Q76" s="12">
        <f t="shared" si="17"/>
      </c>
      <c r="AA76" s="60"/>
      <c r="AB76" s="60"/>
      <c r="AC76" s="60"/>
    </row>
    <row r="77" spans="2:29" ht="12.75">
      <c r="B77" s="14"/>
      <c r="C77" s="14"/>
      <c r="Q77" s="12">
        <f t="shared" si="17"/>
      </c>
      <c r="AA77" s="30"/>
      <c r="AB77" s="30"/>
      <c r="AC77" s="30"/>
    </row>
    <row r="78" spans="17:26" ht="12.75">
      <c r="Q78" s="12">
        <f t="shared" si="17"/>
      </c>
      <c r="U78" s="60"/>
      <c r="V78" s="60"/>
      <c r="W78" s="60"/>
      <c r="X78" s="60"/>
      <c r="Y78" s="60"/>
      <c r="Z78" s="60"/>
    </row>
    <row r="79" spans="17:26" ht="12.75">
      <c r="Q79" s="12">
        <f t="shared" si="17"/>
      </c>
      <c r="U79" s="30"/>
      <c r="V79" s="30"/>
      <c r="W79" s="30"/>
      <c r="X79" s="30"/>
      <c r="Y79" s="30"/>
      <c r="Z79" s="30"/>
    </row>
    <row r="80" spans="1:29" s="59" customFormat="1" ht="12.75">
      <c r="A80" s="1"/>
      <c r="B80" s="2"/>
      <c r="C80" s="2"/>
      <c r="D80" s="3"/>
      <c r="E80" s="4"/>
      <c r="F80" s="5"/>
      <c r="G80" s="6"/>
      <c r="H80" s="7"/>
      <c r="I80" s="7"/>
      <c r="J80" s="3"/>
      <c r="K80" s="8"/>
      <c r="L80" s="9"/>
      <c r="M80" s="10"/>
      <c r="N80" s="10"/>
      <c r="O80" s="9"/>
      <c r="P80" s="11"/>
      <c r="Q80" s="12">
        <f t="shared" si="17"/>
      </c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</row>
    <row r="81" ht="12.75">
      <c r="Q81" s="12">
        <f t="shared" si="17"/>
      </c>
    </row>
    <row r="82" spans="17:20" ht="12.75">
      <c r="Q82" s="12">
        <f t="shared" si="17"/>
      </c>
      <c r="R82" s="60"/>
      <c r="S82" s="60"/>
      <c r="T82" s="60"/>
    </row>
    <row r="83" spans="17:20" ht="12.75">
      <c r="Q83" s="12">
        <f t="shared" si="17"/>
      </c>
      <c r="R83" s="30"/>
      <c r="S83" s="30"/>
      <c r="T83" s="30"/>
    </row>
    <row r="84" ht="12.75">
      <c r="Q84" s="12">
        <f t="shared" si="17"/>
      </c>
    </row>
    <row r="85" ht="12.75">
      <c r="Q85" s="12">
        <f t="shared" si="17"/>
      </c>
    </row>
    <row r="86" ht="12.75">
      <c r="Q86" s="12">
        <f t="shared" si="17"/>
      </c>
    </row>
    <row r="87" ht="12.75">
      <c r="Q87" s="12">
        <f t="shared" si="17"/>
      </c>
    </row>
    <row r="88" ht="12.75">
      <c r="Q88" s="12">
        <f t="shared" si="17"/>
      </c>
    </row>
    <row r="89" ht="12.75">
      <c r="Q89" s="12">
        <f t="shared" si="17"/>
      </c>
    </row>
    <row r="90" spans="17:29" ht="12.75">
      <c r="Q90" s="12">
        <f t="shared" si="17"/>
      </c>
      <c r="AA90" s="59"/>
      <c r="AB90" s="59"/>
      <c r="AC90" s="59"/>
    </row>
    <row r="91" ht="12.75">
      <c r="Q91" s="12">
        <f t="shared" si="17"/>
      </c>
    </row>
    <row r="92" spans="17:26" ht="12.75">
      <c r="Q92" s="12">
        <f t="shared" si="17"/>
      </c>
      <c r="U92" s="59"/>
      <c r="V92" s="59"/>
      <c r="W92" s="59"/>
      <c r="X92" s="59"/>
      <c r="Y92" s="59"/>
      <c r="Z92" s="59"/>
    </row>
    <row r="93" spans="1:29" s="59" customFormat="1" ht="12.75">
      <c r="A93" s="1"/>
      <c r="B93" s="2"/>
      <c r="C93" s="2"/>
      <c r="D93" s="3"/>
      <c r="E93" s="4"/>
      <c r="F93" s="5"/>
      <c r="G93" s="6"/>
      <c r="H93" s="7"/>
      <c r="I93" s="7"/>
      <c r="J93" s="3"/>
      <c r="K93" s="8"/>
      <c r="L93" s="9"/>
      <c r="M93" s="10"/>
      <c r="N93" s="10"/>
      <c r="O93" s="9"/>
      <c r="P93" s="11"/>
      <c r="Q93" s="12">
        <f t="shared" si="17"/>
      </c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spans="1:29" s="30" customFormat="1" ht="12.75">
      <c r="A94" s="1"/>
      <c r="B94" s="2"/>
      <c r="C94" s="2"/>
      <c r="D94" s="3"/>
      <c r="E94" s="4"/>
      <c r="F94" s="5"/>
      <c r="G94" s="6"/>
      <c r="H94" s="7"/>
      <c r="I94" s="7"/>
      <c r="J94" s="3"/>
      <c r="K94" s="8"/>
      <c r="L94" s="9"/>
      <c r="M94" s="10"/>
      <c r="N94" s="10"/>
      <c r="O94" s="9"/>
      <c r="P94" s="11"/>
      <c r="Q94" s="12">
        <f t="shared" si="17"/>
      </c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</row>
    <row r="95" spans="1:29" s="59" customFormat="1" ht="12.75">
      <c r="A95" s="1"/>
      <c r="B95" s="2"/>
      <c r="C95" s="2"/>
      <c r="D95" s="3"/>
      <c r="E95" s="4"/>
      <c r="F95" s="5"/>
      <c r="G95" s="6"/>
      <c r="H95" s="7"/>
      <c r="I95" s="7"/>
      <c r="J95" s="3"/>
      <c r="K95" s="8"/>
      <c r="L95" s="9"/>
      <c r="M95" s="10"/>
      <c r="N95" s="10"/>
      <c r="O95" s="9"/>
      <c r="P95" s="11"/>
      <c r="Q95" s="12">
        <f t="shared" si="17"/>
      </c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</row>
    <row r="96" spans="17:20" ht="12.75">
      <c r="Q96" s="12">
        <f t="shared" si="17"/>
      </c>
      <c r="R96" s="59"/>
      <c r="S96" s="59"/>
      <c r="T96" s="59"/>
    </row>
    <row r="97" ht="12.75">
      <c r="Q97" s="12">
        <f t="shared" si="17"/>
      </c>
    </row>
    <row r="98" ht="12.75">
      <c r="Q98" s="12">
        <f t="shared" si="17"/>
      </c>
    </row>
    <row r="99" ht="12.75">
      <c r="Q99" s="12">
        <f t="shared" si="17"/>
      </c>
    </row>
    <row r="100" ht="12.75">
      <c r="Q100" s="12">
        <f t="shared" si="17"/>
      </c>
    </row>
    <row r="101" ht="12.75">
      <c r="Q101" s="12">
        <f t="shared" si="17"/>
      </c>
    </row>
    <row r="102" ht="12.75">
      <c r="Q102" s="12">
        <f t="shared" si="17"/>
      </c>
    </row>
    <row r="103" spans="17:29" ht="12.75">
      <c r="Q103" s="12">
        <f t="shared" si="17"/>
      </c>
      <c r="AA103" s="59"/>
      <c r="AB103" s="59"/>
      <c r="AC103" s="59"/>
    </row>
    <row r="104" spans="17:29" ht="12.75">
      <c r="Q104" s="12">
        <f t="shared" si="17"/>
      </c>
      <c r="AA104" s="30"/>
      <c r="AB104" s="30"/>
      <c r="AC104" s="30"/>
    </row>
    <row r="105" spans="17:29" ht="12.75">
      <c r="Q105" s="12">
        <f t="shared" si="17"/>
      </c>
      <c r="U105" s="59"/>
      <c r="V105" s="59"/>
      <c r="W105" s="59"/>
      <c r="X105" s="59"/>
      <c r="Y105" s="59"/>
      <c r="Z105" s="59"/>
      <c r="AA105" s="59"/>
      <c r="AB105" s="59"/>
      <c r="AC105" s="59"/>
    </row>
    <row r="106" spans="17:26" ht="12.75">
      <c r="Q106" s="12">
        <f t="shared" si="17"/>
      </c>
      <c r="U106" s="30"/>
      <c r="V106" s="30"/>
      <c r="W106" s="30"/>
      <c r="X106" s="30"/>
      <c r="Y106" s="30"/>
      <c r="Z106" s="30"/>
    </row>
    <row r="107" spans="17:26" ht="12.75">
      <c r="Q107" s="12">
        <f aca="true" t="shared" si="18" ref="Q107:Q132">IF($O109="Store Lost",1,"")</f>
      </c>
      <c r="U107" s="59"/>
      <c r="V107" s="59"/>
      <c r="W107" s="59"/>
      <c r="X107" s="59"/>
      <c r="Y107" s="59"/>
      <c r="Z107" s="59"/>
    </row>
    <row r="108" ht="12.75">
      <c r="Q108" s="12">
        <f t="shared" si="18"/>
      </c>
    </row>
    <row r="109" spans="17:20" ht="12.75">
      <c r="Q109" s="12">
        <f t="shared" si="18"/>
      </c>
      <c r="R109" s="59"/>
      <c r="S109" s="59"/>
      <c r="T109" s="59"/>
    </row>
    <row r="110" spans="17:20" ht="12.75">
      <c r="Q110" s="12">
        <f t="shared" si="18"/>
      </c>
      <c r="R110" s="30"/>
      <c r="S110" s="30"/>
      <c r="T110" s="30"/>
    </row>
    <row r="111" spans="17:20" ht="12.75">
      <c r="Q111" s="12">
        <f t="shared" si="18"/>
      </c>
      <c r="R111" s="59"/>
      <c r="S111" s="59"/>
      <c r="T111" s="59"/>
    </row>
    <row r="112" ht="12.75">
      <c r="Q112" s="12">
        <f t="shared" si="18"/>
      </c>
    </row>
    <row r="113" ht="12.75">
      <c r="Q113" s="12">
        <f t="shared" si="18"/>
      </c>
    </row>
    <row r="114" ht="12.75">
      <c r="Q114" s="12">
        <f t="shared" si="18"/>
      </c>
    </row>
    <row r="115" ht="12.75">
      <c r="Q115" s="12">
        <f t="shared" si="18"/>
      </c>
    </row>
    <row r="116" spans="1:29" s="59" customFormat="1" ht="12.75">
      <c r="A116" s="1"/>
      <c r="B116" s="2"/>
      <c r="C116" s="2"/>
      <c r="D116" s="3"/>
      <c r="E116" s="4"/>
      <c r="F116" s="5"/>
      <c r="G116" s="6"/>
      <c r="H116" s="7"/>
      <c r="I116" s="7"/>
      <c r="J116" s="3"/>
      <c r="K116" s="8"/>
      <c r="L116" s="9"/>
      <c r="M116" s="10"/>
      <c r="N116" s="10"/>
      <c r="O116" s="9"/>
      <c r="P116" s="11"/>
      <c r="Q116" s="12">
        <f t="shared" si="18"/>
      </c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</row>
    <row r="117" ht="12.75">
      <c r="Q117" s="12">
        <f t="shared" si="18"/>
      </c>
    </row>
    <row r="118" ht="12.75">
      <c r="Q118" s="12">
        <f t="shared" si="18"/>
      </c>
    </row>
    <row r="119" ht="12.75">
      <c r="Q119" s="12">
        <f t="shared" si="18"/>
      </c>
    </row>
    <row r="120" ht="12.75">
      <c r="Q120" s="12">
        <f t="shared" si="18"/>
      </c>
    </row>
    <row r="121" ht="12.75">
      <c r="Q121" s="12">
        <f t="shared" si="18"/>
      </c>
    </row>
    <row r="122" ht="12.75">
      <c r="Q122" s="12">
        <f t="shared" si="18"/>
      </c>
    </row>
    <row r="123" ht="12.75">
      <c r="Q123" s="12">
        <f t="shared" si="18"/>
      </c>
    </row>
    <row r="124" ht="12.75">
      <c r="Q124" s="12">
        <f t="shared" si="18"/>
      </c>
    </row>
    <row r="125" ht="12.75">
      <c r="Q125" s="12">
        <f t="shared" si="18"/>
      </c>
    </row>
    <row r="126" spans="17:29" ht="12.75">
      <c r="Q126" s="12">
        <f t="shared" si="18"/>
      </c>
      <c r="AA126" s="59"/>
      <c r="AB126" s="59"/>
      <c r="AC126" s="59"/>
    </row>
    <row r="127" ht="12.75">
      <c r="Q127" s="12">
        <f t="shared" si="18"/>
      </c>
    </row>
    <row r="128" spans="17:26" ht="12.75">
      <c r="Q128" s="12">
        <f t="shared" si="18"/>
      </c>
      <c r="U128" s="59"/>
      <c r="V128" s="59"/>
      <c r="W128" s="59"/>
      <c r="X128" s="59"/>
      <c r="Y128" s="59"/>
      <c r="Z128" s="59"/>
    </row>
    <row r="129" ht="12.75">
      <c r="Q129" s="12">
        <f t="shared" si="18"/>
      </c>
    </row>
    <row r="130" ht="12.75">
      <c r="Q130" s="12">
        <f t="shared" si="18"/>
      </c>
    </row>
    <row r="131" ht="12.75">
      <c r="Q131" s="12">
        <f t="shared" si="18"/>
      </c>
    </row>
    <row r="132" spans="17:20" ht="12.75">
      <c r="Q132" s="12">
        <f t="shared" si="18"/>
      </c>
      <c r="R132" s="59"/>
      <c r="S132" s="59"/>
      <c r="T132" s="59"/>
    </row>
    <row r="136" ht="12.75">
      <c r="Q136" s="12">
        <f>COUNT(Q43:Q132)</f>
        <v>2</v>
      </c>
    </row>
  </sheetData>
  <sheetProtection/>
  <mergeCells count="1">
    <mergeCell ref="A2:I2"/>
  </mergeCells>
  <printOptions/>
  <pageMargins left="0" right="0" top="0" bottom="0.15" header="0.25" footer="0.15"/>
  <pageSetup fitToHeight="0" fitToWidth="1" horizontalDpi="300" verticalDpi="300" orientation="landscape" paperSize="5" scale="70" r:id="rId2"/>
  <headerFooter alignWithMargins="0">
    <oddFooter>&amp;RUpdated &amp;D</oddFoot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44"/>
  <sheetViews>
    <sheetView zoomScale="75" zoomScaleNormal="75" zoomScalePageLayoutView="0" workbookViewId="0" topLeftCell="A1">
      <selection activeCell="P22" sqref="P22"/>
    </sheetView>
  </sheetViews>
  <sheetFormatPr defaultColWidth="9.140625" defaultRowHeight="12.75"/>
  <cols>
    <col min="1" max="1" width="21.28125" style="0" customWidth="1"/>
    <col min="2" max="2" width="18.8515625" style="0" customWidth="1"/>
    <col min="3" max="9" width="9.8515625" style="0" customWidth="1"/>
    <col min="10" max="10" width="11.57421875" style="0" customWidth="1"/>
    <col min="11" max="11" width="9.8515625" style="0" customWidth="1"/>
    <col min="12" max="12" width="20.7109375" style="0" customWidth="1"/>
    <col min="13" max="14" width="22.28125" style="0" customWidth="1"/>
    <col min="15" max="15" width="12.00390625" style="0" customWidth="1"/>
    <col min="16" max="17" width="22.28125" style="0" customWidth="1"/>
    <col min="18" max="18" width="12.00390625" style="0" customWidth="1"/>
    <col min="19" max="20" width="22.28125" style="0" customWidth="1"/>
    <col min="21" max="21" width="4.00390625" style="0" customWidth="1"/>
    <col min="22" max="23" width="22.28125" style="0" customWidth="1"/>
    <col min="24" max="24" width="12.00390625" style="0" customWidth="1"/>
    <col min="25" max="26" width="21.140625" style="0" customWidth="1"/>
    <col min="27" max="27" width="4.00390625" style="0" customWidth="1"/>
    <col min="28" max="29" width="21.140625" style="0" bestFit="1" customWidth="1"/>
    <col min="30" max="30" width="4.421875" style="0" customWidth="1"/>
    <col min="31" max="32" width="21.140625" style="0" bestFit="1" customWidth="1"/>
    <col min="33" max="33" width="5.00390625" style="0" customWidth="1"/>
    <col min="34" max="35" width="21.140625" style="0" bestFit="1" customWidth="1"/>
    <col min="36" max="36" width="10.28125" style="0" bestFit="1" customWidth="1"/>
  </cols>
  <sheetData>
    <row r="3" spans="1:9" ht="12.75">
      <c r="A3" s="159"/>
      <c r="B3" s="96" t="s">
        <v>14</v>
      </c>
      <c r="C3" s="95"/>
      <c r="D3" s="95"/>
      <c r="E3" s="95"/>
      <c r="F3" s="95"/>
      <c r="G3" s="95"/>
      <c r="H3" s="95"/>
      <c r="I3" s="97"/>
    </row>
    <row r="4" spans="1:9" ht="12.75">
      <c r="A4" s="96" t="s">
        <v>40</v>
      </c>
      <c r="B4" s="83" t="s">
        <v>22</v>
      </c>
      <c r="C4" s="98" t="s">
        <v>23</v>
      </c>
      <c r="D4" s="98" t="s">
        <v>69</v>
      </c>
      <c r="E4" s="98" t="s">
        <v>65</v>
      </c>
      <c r="F4" s="98" t="s">
        <v>82</v>
      </c>
      <c r="G4" s="98" t="s">
        <v>24</v>
      </c>
      <c r="H4" s="98" t="s">
        <v>68</v>
      </c>
      <c r="I4" s="99" t="s">
        <v>59</v>
      </c>
    </row>
    <row r="5" spans="1:9" ht="12.75">
      <c r="A5" s="83" t="s">
        <v>41</v>
      </c>
      <c r="B5" s="100">
        <v>0</v>
      </c>
      <c r="C5" s="101">
        <v>1</v>
      </c>
      <c r="D5" s="101">
        <v>0</v>
      </c>
      <c r="E5" s="101">
        <v>0</v>
      </c>
      <c r="F5" s="101">
        <v>0</v>
      </c>
      <c r="G5" s="101">
        <v>1</v>
      </c>
      <c r="H5" s="101">
        <v>0</v>
      </c>
      <c r="I5" s="102">
        <v>2</v>
      </c>
    </row>
    <row r="6" spans="1:9" ht="12.75">
      <c r="A6" s="104" t="s">
        <v>42</v>
      </c>
      <c r="B6" s="105">
        <v>3</v>
      </c>
      <c r="C6" s="74">
        <v>6</v>
      </c>
      <c r="D6" s="74">
        <v>2</v>
      </c>
      <c r="E6" s="74">
        <v>1</v>
      </c>
      <c r="F6" s="74">
        <v>1</v>
      </c>
      <c r="G6" s="74">
        <v>1</v>
      </c>
      <c r="H6" s="74">
        <v>2</v>
      </c>
      <c r="I6" s="106">
        <v>16</v>
      </c>
    </row>
    <row r="7" spans="1:9" ht="12.75">
      <c r="A7" s="112" t="s">
        <v>66</v>
      </c>
      <c r="B7" s="154">
        <v>8.566666666651145</v>
      </c>
      <c r="C7" s="160">
        <v>19.84999999991851</v>
      </c>
      <c r="D7" s="134">
        <v>0.5833333333139308</v>
      </c>
      <c r="E7" s="134">
        <v>0.7166666667326353</v>
      </c>
      <c r="F7" s="134">
        <v>0.5500000000465661</v>
      </c>
      <c r="G7" s="134">
        <v>3.266666666662786</v>
      </c>
      <c r="H7" s="134">
        <v>1.0999999999185093</v>
      </c>
      <c r="I7" s="113">
        <v>34.63333333324408</v>
      </c>
    </row>
    <row r="12" ht="13.5" thickBot="1"/>
    <row r="13" spans="2:19" ht="12.75">
      <c r="B13" s="61" t="s">
        <v>23</v>
      </c>
      <c r="C13" s="62" t="s">
        <v>45</v>
      </c>
      <c r="D13" s="62" t="s">
        <v>22</v>
      </c>
      <c r="E13" s="62" t="s">
        <v>46</v>
      </c>
      <c r="F13" s="62" t="s">
        <v>47</v>
      </c>
      <c r="G13" s="62" t="s">
        <v>48</v>
      </c>
      <c r="H13" s="62" t="s">
        <v>49</v>
      </c>
      <c r="I13" s="62" t="s">
        <v>50</v>
      </c>
      <c r="J13" s="62" t="s">
        <v>51</v>
      </c>
      <c r="K13" s="62" t="s">
        <v>52</v>
      </c>
      <c r="L13" s="62" t="s">
        <v>53</v>
      </c>
      <c r="M13" s="62" t="s">
        <v>54</v>
      </c>
      <c r="N13" s="62" t="s">
        <v>55</v>
      </c>
      <c r="O13" s="62" t="s">
        <v>56</v>
      </c>
      <c r="P13" s="63" t="s">
        <v>57</v>
      </c>
      <c r="Q13" s="64" t="s">
        <v>58</v>
      </c>
      <c r="R13" s="64" t="s">
        <v>59</v>
      </c>
      <c r="S13" s="65" t="s">
        <v>60</v>
      </c>
    </row>
    <row r="15" spans="1:19" s="69" customFormat="1" ht="12.75">
      <c r="A15" s="155" t="s">
        <v>78</v>
      </c>
      <c r="B15" s="67">
        <f>IF(B17,SUM(B17/B26),"")</f>
        <v>0.012716207559204683</v>
      </c>
      <c r="C15" s="67">
        <f>IF(C17,SUM(C17/B26),"")</f>
      </c>
      <c r="D15" s="67">
        <f>IF(D17,SUM(D17/B26),"")</f>
        <v>0.005487935084337697</v>
      </c>
      <c r="E15" s="67"/>
      <c r="F15" s="67">
        <f>IF(F17,SUM(F17/B26),"")</f>
        <v>0.00045910740982231605</v>
      </c>
      <c r="G15" s="67">
        <f>IF(G17,SUM(G17/B26),"")</f>
      </c>
      <c r="H15" s="67">
        <f>IF(H17,SUM(H17/B26),"")</f>
        <v>0.002092675635274046</v>
      </c>
      <c r="I15" s="67">
        <f>IF(I17,SUM(I17/B26),"")</f>
        <v>0.0003736920777155226</v>
      </c>
      <c r="J15" s="67">
        <f>IF(J17,SUM(J17/C26),"")</f>
      </c>
      <c r="K15" s="67"/>
      <c r="L15" s="67">
        <f>IF(L17,SUM(L17/B26),"")</f>
      </c>
      <c r="M15" s="67">
        <f>IF(M17,SUM(M17/B26),"")</f>
        <v>0.0003523382447447573</v>
      </c>
      <c r="N15" s="67"/>
      <c r="O15" s="67">
        <f>IF(P17,SUM(P17/C26),"")</f>
      </c>
      <c r="P15" s="67">
        <f>IF(P17,SUM(P17/B26),"")</f>
      </c>
      <c r="Q15" s="67">
        <f>IF(Q17,SUM(Q17/B26),"")</f>
        <v>0.0007046764893776484</v>
      </c>
      <c r="R15" s="67">
        <f>IF(R17,SUM(R17/B26),"")</f>
        <v>0.02218663250047667</v>
      </c>
      <c r="S15" s="68">
        <f>IF(S17,SUM(S17/L13),"")</f>
      </c>
    </row>
    <row r="16" spans="1:19" ht="12.75">
      <c r="A16" s="66" t="s">
        <v>61</v>
      </c>
      <c r="B16" s="70">
        <f>'[1]reliabilitySummary'!$B$7</f>
        <v>0.0054</v>
      </c>
      <c r="C16" s="70">
        <f>'[1]reliabilitySummary'!$B$8</f>
        <v>0.0012000000000000001</v>
      </c>
      <c r="D16" s="70">
        <f>'[1]reliabilitySummary'!$B$9</f>
        <v>0.0054</v>
      </c>
      <c r="E16" s="70">
        <f>'[1]reliabilitySummary'!$B$10</f>
        <v>0.003</v>
      </c>
      <c r="F16" s="70">
        <v>0.0028</v>
      </c>
      <c r="G16" s="70">
        <v>0.0028</v>
      </c>
      <c r="H16" s="70">
        <f>'[1]reliabilitySummary'!$B$16</f>
        <v>0.0036000000000000003</v>
      </c>
      <c r="I16" s="70">
        <f>'[1]reliabilitySummary'!$B$18</f>
        <v>0.0012000000000000001</v>
      </c>
      <c r="J16" s="70">
        <f>'[1]reliabilitySummary'!$B$19</f>
        <v>0</v>
      </c>
      <c r="K16" s="70">
        <f>'[1]reliabilitySummary'!$B$20</f>
        <v>0.0006000000000000001</v>
      </c>
      <c r="L16" s="70">
        <f>'[1]reliabilitySummary'!$B$24</f>
        <v>0.0006000000000000001</v>
      </c>
      <c r="M16" s="70">
        <f>'[1]reliabilitySummary'!$B$20</f>
        <v>0.0006000000000000001</v>
      </c>
      <c r="N16" s="70">
        <f>'[1]reliabilitySummary'!$B$26</f>
        <v>0.0006000000000000001</v>
      </c>
      <c r="O16" s="70">
        <f>'[1]reliabilitySummary'!$B$27</f>
        <v>0.0018000000000000002</v>
      </c>
      <c r="P16" s="70">
        <f>'[1]reliabilitySummary'!$B$11</f>
        <v>0.0012000000000000001</v>
      </c>
      <c r="Q16" s="70">
        <f>'[1]reliabilitySummary'!$B$28</f>
        <v>0.0006000000000000001</v>
      </c>
      <c r="R16" s="70">
        <f>SUM(B16:Q16)</f>
        <v>0.0314</v>
      </c>
      <c r="S16" s="71"/>
    </row>
    <row r="17" spans="1:19" s="69" customFormat="1" ht="12.75">
      <c r="A17" s="66" t="s">
        <v>62</v>
      </c>
      <c r="B17" s="68">
        <f>GETPIVOTDATA("Sum of System Length",$A$3,"Group","RF")</f>
        <v>19.84999999991851</v>
      </c>
      <c r="C17" s="68"/>
      <c r="D17" s="68">
        <f>GETPIVOTDATA("Sum of System Length",$A$3,"Group","PS")</f>
        <v>8.566666666651145</v>
      </c>
      <c r="E17" s="68"/>
      <c r="F17" s="68">
        <f>GETPIVOTDATA("Sum of System Length",$A$3,"Group","SI")</f>
        <v>0.7166666667326353</v>
      </c>
      <c r="G17" s="68"/>
      <c r="H17" s="68">
        <f>GETPIVOTDATA("Sum of System Length",$A$3,"Group","MOM")</f>
        <v>3.266666666662786</v>
      </c>
      <c r="I17" s="68">
        <f>GETPIVOTDATA("Sum of System Length",$A$3,"Group","AOP")</f>
        <v>0.5833333333139308</v>
      </c>
      <c r="J17" s="68"/>
      <c r="K17" s="68"/>
      <c r="L17" s="68"/>
      <c r="M17" s="68">
        <f>GETPIVOTDATA("Sum of System Length",$A$3,"Group","COMED")</f>
        <v>0.5500000000465661</v>
      </c>
      <c r="O17" s="68"/>
      <c r="P17" s="68"/>
      <c r="Q17" s="68">
        <f>GETPIVOTDATA("Sum of System Length",$A$3,"Group","UNK")</f>
        <v>1.0999999999185093</v>
      </c>
      <c r="R17" s="72">
        <f>SUM(B17:Q17)</f>
        <v>34.63333333324408</v>
      </c>
      <c r="S17" s="73"/>
    </row>
    <row r="18" spans="1:18" ht="12.75">
      <c r="A18" s="75" t="s">
        <v>63</v>
      </c>
      <c r="B18">
        <f>GETPIVOTDATA("Sum - Store Lost",$A$3,"Group","RF")</f>
        <v>6</v>
      </c>
      <c r="D18">
        <f>GETPIVOTDATA("Sum - Store Lost",$A$3,"Group","PS")</f>
        <v>3</v>
      </c>
      <c r="F18">
        <f>GETPIVOTDATA("Sum - Store Lost",$A$3,"Group","SI")</f>
        <v>1</v>
      </c>
      <c r="H18">
        <f>GETPIVOTDATA("Sum - Store Lost",$A$3,"Group","MOM")</f>
        <v>1</v>
      </c>
      <c r="I18">
        <f>GETPIVOTDATA("Sum - Store Lost",$A$3,"Group","AOP")</f>
        <v>2</v>
      </c>
      <c r="M18">
        <f>GETPIVOTDATA("Sum - Store Lost",$A$3,"Group","COMED")</f>
        <v>1</v>
      </c>
      <c r="Q18">
        <f>GETPIVOTDATA("Sum - Store Lost",$A$3,"Group","UNK")</f>
        <v>2</v>
      </c>
      <c r="R18" s="72">
        <f>SUM(B18:Q18)</f>
        <v>16</v>
      </c>
    </row>
    <row r="19" spans="1:18" ht="12.75">
      <c r="A19" s="75"/>
      <c r="B19" s="74"/>
      <c r="C19" s="74"/>
      <c r="D19" s="74"/>
      <c r="E19" s="74"/>
      <c r="G19" s="74"/>
      <c r="H19" s="74"/>
      <c r="L19" s="74"/>
      <c r="N19" s="74"/>
      <c r="R19" s="72"/>
    </row>
    <row r="20" spans="1:18" ht="13.5" thickBot="1">
      <c r="A20" s="75"/>
      <c r="B20" s="74"/>
      <c r="C20" s="74"/>
      <c r="D20" s="74"/>
      <c r="E20" s="74"/>
      <c r="G20" s="74"/>
      <c r="H20" s="74"/>
      <c r="L20" s="74"/>
      <c r="N20" s="74"/>
      <c r="R20" s="72"/>
    </row>
    <row r="21" spans="2:18" ht="12.75">
      <c r="B21" s="61" t="s">
        <v>23</v>
      </c>
      <c r="C21" s="62" t="s">
        <v>45</v>
      </c>
      <c r="D21" s="62" t="s">
        <v>22</v>
      </c>
      <c r="E21" s="62" t="s">
        <v>46</v>
      </c>
      <c r="F21" s="62" t="s">
        <v>47</v>
      </c>
      <c r="G21" s="62" t="s">
        <v>48</v>
      </c>
      <c r="H21" s="62" t="s">
        <v>24</v>
      </c>
      <c r="I21" s="62" t="s">
        <v>50</v>
      </c>
      <c r="J21" s="62" t="s">
        <v>51</v>
      </c>
      <c r="K21" s="62" t="s">
        <v>52</v>
      </c>
      <c r="L21" s="62" t="s">
        <v>53</v>
      </c>
      <c r="M21" s="62" t="s">
        <v>54</v>
      </c>
      <c r="N21" s="62" t="s">
        <v>55</v>
      </c>
      <c r="O21" s="62" t="s">
        <v>56</v>
      </c>
      <c r="P21" s="63" t="s">
        <v>57</v>
      </c>
      <c r="Q21" s="64" t="s">
        <v>58</v>
      </c>
      <c r="R21" s="72"/>
    </row>
    <row r="22" spans="1:18" ht="12.75">
      <c r="A22" s="155" t="s">
        <v>78</v>
      </c>
      <c r="B22" s="175">
        <f aca="true" t="shared" si="0" ref="B22:H22">B18/($B25/24)</f>
        <v>0.09434168286343927</v>
      </c>
      <c r="C22" s="114">
        <f>C18/($B25/24)</f>
        <v>0</v>
      </c>
      <c r="D22" s="77">
        <f t="shared" si="0"/>
        <v>0.04717084143171964</v>
      </c>
      <c r="E22" s="77">
        <f t="shared" si="0"/>
        <v>0</v>
      </c>
      <c r="F22" s="76">
        <f t="shared" si="0"/>
        <v>0.01572361381057321</v>
      </c>
      <c r="G22" s="76">
        <f t="shared" si="0"/>
        <v>0</v>
      </c>
      <c r="H22" s="76">
        <f t="shared" si="0"/>
        <v>0.01572361381057321</v>
      </c>
      <c r="I22" s="77">
        <f>I18/($B25/24)</f>
        <v>0.03144722762114642</v>
      </c>
      <c r="J22" s="77">
        <f>J18/($B25/24)</f>
        <v>0</v>
      </c>
      <c r="K22" s="76">
        <f>K18/($B25/24)</f>
        <v>0</v>
      </c>
      <c r="L22" s="76">
        <f>L18/($B25/24)</f>
        <v>0</v>
      </c>
      <c r="M22" s="76">
        <f aca="true" t="shared" si="1" ref="M22:R22">M18/($B25/24)</f>
        <v>0.01572361381057321</v>
      </c>
      <c r="N22" s="76">
        <f>N18/($B25/24)</f>
        <v>0</v>
      </c>
      <c r="O22" s="76">
        <f>O18/($B25/24)</f>
        <v>0</v>
      </c>
      <c r="P22" s="76">
        <f t="shared" si="1"/>
        <v>0</v>
      </c>
      <c r="Q22" s="76">
        <f t="shared" si="1"/>
        <v>0.03144722762114642</v>
      </c>
      <c r="R22" s="76">
        <f t="shared" si="1"/>
        <v>0.25157782096917136</v>
      </c>
    </row>
    <row r="23" spans="1:19" ht="12.75">
      <c r="A23" s="78" t="s">
        <v>61</v>
      </c>
      <c r="B23" s="79">
        <f>'[1]reliabilitySummary'!$F$7</f>
        <v>0.12</v>
      </c>
      <c r="C23" s="79">
        <f>'[1]reliabilitySummary'!$F$8</f>
        <v>0.03</v>
      </c>
      <c r="D23" s="79">
        <v>0.12</v>
      </c>
      <c r="E23" s="79">
        <v>0.05</v>
      </c>
      <c r="F23" s="79">
        <v>0.035</v>
      </c>
      <c r="G23" s="79">
        <v>0.02</v>
      </c>
      <c r="H23" s="79">
        <v>0.06</v>
      </c>
      <c r="I23" s="79">
        <v>0.02</v>
      </c>
      <c r="J23" s="80">
        <v>0</v>
      </c>
      <c r="K23" s="80">
        <v>0.01</v>
      </c>
      <c r="L23" s="80">
        <v>0.01</v>
      </c>
      <c r="M23" s="80">
        <v>0.01</v>
      </c>
      <c r="N23" s="80">
        <v>0.01</v>
      </c>
      <c r="O23" s="80">
        <v>0.02</v>
      </c>
      <c r="P23" s="80">
        <v>0.01</v>
      </c>
      <c r="Q23" s="80">
        <v>0.02</v>
      </c>
      <c r="R23" s="80">
        <f>SUM(B23:Q23)</f>
        <v>0.545</v>
      </c>
      <c r="S23" s="81"/>
    </row>
    <row r="25" spans="1:2" ht="12.75">
      <c r="A25" s="37" t="s">
        <v>32</v>
      </c>
      <c r="B25" s="69">
        <f>'Main Data'!D49</f>
        <v>1526.366666666756</v>
      </c>
    </row>
    <row r="26" spans="1:2" ht="12.75">
      <c r="A26" s="82" t="s">
        <v>36</v>
      </c>
      <c r="B26" s="80">
        <f>'Main Data'!D51</f>
        <v>1561</v>
      </c>
    </row>
    <row r="30" ht="12.75">
      <c r="A30" s="83"/>
    </row>
    <row r="36" ht="12.75">
      <c r="A36" s="84" t="s">
        <v>64</v>
      </c>
    </row>
    <row r="37" spans="1:10" ht="12.75">
      <c r="A37" s="83"/>
      <c r="B37" s="95"/>
      <c r="C37" s="96" t="s">
        <v>12</v>
      </c>
      <c r="D37" s="95"/>
      <c r="E37" s="95"/>
      <c r="F37" s="95"/>
      <c r="G37" s="95"/>
      <c r="H37" s="95"/>
      <c r="I37" s="95"/>
      <c r="J37" s="97"/>
    </row>
    <row r="38" spans="1:10" ht="12.75">
      <c r="A38" s="96" t="s">
        <v>15</v>
      </c>
      <c r="B38" s="96" t="s">
        <v>40</v>
      </c>
      <c r="C38" s="83" t="s">
        <v>22</v>
      </c>
      <c r="D38" s="98" t="s">
        <v>23</v>
      </c>
      <c r="E38" s="98" t="s">
        <v>65</v>
      </c>
      <c r="F38" s="98" t="s">
        <v>24</v>
      </c>
      <c r="G38" s="98" t="s">
        <v>68</v>
      </c>
      <c r="H38" s="98" t="s">
        <v>82</v>
      </c>
      <c r="I38" s="98" t="s">
        <v>69</v>
      </c>
      <c r="J38" s="99" t="s">
        <v>59</v>
      </c>
    </row>
    <row r="39" spans="1:10" ht="12.75">
      <c r="A39" s="83" t="s">
        <v>17</v>
      </c>
      <c r="B39" s="83" t="s">
        <v>42</v>
      </c>
      <c r="C39" s="100">
        <v>3</v>
      </c>
      <c r="D39" s="101">
        <v>6</v>
      </c>
      <c r="E39" s="101">
        <v>1</v>
      </c>
      <c r="F39" s="101">
        <v>1</v>
      </c>
      <c r="G39" s="101">
        <v>2</v>
      </c>
      <c r="H39" s="101">
        <v>1</v>
      </c>
      <c r="I39" s="101">
        <v>2</v>
      </c>
      <c r="J39" s="102">
        <v>16</v>
      </c>
    </row>
    <row r="40" spans="1:10" ht="12.75">
      <c r="A40" s="103"/>
      <c r="B40" s="104" t="s">
        <v>41</v>
      </c>
      <c r="C40" s="105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106">
        <v>0</v>
      </c>
    </row>
    <row r="41" spans="1:10" ht="12.75">
      <c r="A41" s="83" t="s">
        <v>84</v>
      </c>
      <c r="B41" s="83" t="s">
        <v>42</v>
      </c>
      <c r="C41" s="100"/>
      <c r="D41" s="101">
        <v>0</v>
      </c>
      <c r="E41" s="101"/>
      <c r="F41" s="101">
        <v>0</v>
      </c>
      <c r="G41" s="101"/>
      <c r="H41" s="101"/>
      <c r="I41" s="101"/>
      <c r="J41" s="102">
        <v>0</v>
      </c>
    </row>
    <row r="42" spans="1:10" ht="12.75">
      <c r="A42" s="103"/>
      <c r="B42" s="104" t="s">
        <v>41</v>
      </c>
      <c r="C42" s="105"/>
      <c r="D42" s="74">
        <v>1</v>
      </c>
      <c r="E42" s="74"/>
      <c r="F42" s="74">
        <v>1</v>
      </c>
      <c r="G42" s="74"/>
      <c r="H42" s="74"/>
      <c r="I42" s="74"/>
      <c r="J42" s="106">
        <v>2</v>
      </c>
    </row>
    <row r="43" spans="1:10" ht="12.75">
      <c r="A43" s="83" t="s">
        <v>44</v>
      </c>
      <c r="B43" s="95"/>
      <c r="C43" s="100">
        <v>3</v>
      </c>
      <c r="D43" s="101">
        <v>6</v>
      </c>
      <c r="E43" s="101">
        <v>1</v>
      </c>
      <c r="F43" s="101">
        <v>1</v>
      </c>
      <c r="G43" s="101">
        <v>2</v>
      </c>
      <c r="H43" s="101">
        <v>1</v>
      </c>
      <c r="I43" s="101">
        <v>2</v>
      </c>
      <c r="J43" s="102">
        <v>16</v>
      </c>
    </row>
    <row r="44" spans="1:10" ht="12.75">
      <c r="A44" s="107" t="s">
        <v>43</v>
      </c>
      <c r="B44" s="108"/>
      <c r="C44" s="109">
        <v>0</v>
      </c>
      <c r="D44" s="110">
        <v>1</v>
      </c>
      <c r="E44" s="110">
        <v>0</v>
      </c>
      <c r="F44" s="110">
        <v>1</v>
      </c>
      <c r="G44" s="110">
        <v>0</v>
      </c>
      <c r="H44" s="110">
        <v>0</v>
      </c>
      <c r="I44" s="110">
        <v>0</v>
      </c>
      <c r="J44" s="111">
        <v>2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0" max="20" width="12.00390625" style="0" customWidth="1"/>
    <col min="21" max="21" width="3.00390625" style="0" customWidth="1"/>
  </cols>
  <sheetData/>
  <sheetProtection/>
  <printOptions/>
  <pageMargins left="0.747916666666667" right="0.747916666666667" top="0.984027777777778" bottom="0.984027777777778" header="0.511805555555556" footer="0.511805555555556"/>
  <pageSetup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Normal="60" zoomScalePageLayoutView="0" workbookViewId="0" topLeftCell="A7">
      <selection activeCell="A7" sqref="A1:IV1638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Downtime</dc:subject>
  <dc:creator>Flood, Randy J.</dc:creator>
  <cp:keywords/>
  <dc:description/>
  <cp:lastModifiedBy>Felix</cp:lastModifiedBy>
  <cp:lastPrinted>2018-12-17T15:58:13Z</cp:lastPrinted>
  <dcterms:created xsi:type="dcterms:W3CDTF">1998-01-15T00:06:45Z</dcterms:created>
  <dcterms:modified xsi:type="dcterms:W3CDTF">2018-12-17T15:58:43Z</dcterms:modified>
  <cp:category/>
  <cp:version/>
  <cp:contentType/>
  <cp:contentStatus/>
  <cp:revision>5</cp:revision>
</cp:coreProperties>
</file>