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35" yWindow="65311" windowWidth="9645" windowHeight="10080" tabRatio="927" activeTab="2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Data'!$A$2:$P$47</definedName>
    <definedName name="Excel_BuiltIn_Print_Area_1_1_1">'Main Data'!$A$2:$P$68</definedName>
    <definedName name="Excel_BuiltIn_Print_Area_1_1_11">'Main Data'!$A$2:$P$69</definedName>
    <definedName name="Excel_BuiltIn_Print_Area_1_1_1_1">'Main Data'!$A$2:$P$55</definedName>
    <definedName name="Excel_BuiltIn_Print_Area_41">'Faults Per Day'!$A$1:$W$67</definedName>
    <definedName name="Faults_Day_of_Delivered_Beam">'Main Data'!$D$97</definedName>
    <definedName name="Mean_Time_Between_Faults">'Main Data'!$D$96</definedName>
    <definedName name="Number_of_Fills">'Main Data'!$D$89</definedName>
    <definedName name="Number_of_Intentional_Dumps">'Main Data'!$D$88</definedName>
    <definedName name="Number_of_Lost_Fills">'Main Data'!$D$87</definedName>
    <definedName name="_xlnm.Print_Area" localSheetId="3">'Faults Per Day'!$A$1:$AC$81</definedName>
    <definedName name="_xlnm.Print_Area" localSheetId="0">'Main Data'!$A$2:$P$55</definedName>
    <definedName name="_xlnm.Print_Titles" localSheetId="0">'Main Data'!$4:$4</definedName>
    <definedName name="Refill_Time">'Main Data'!$D$1</definedName>
    <definedName name="Total_Schedule_Run_Length">'Main Data'!$D$93</definedName>
    <definedName name="Total_System_Downtime">'Main Data'!$K$89</definedName>
    <definedName name="Total_User_Beam">'Main Data'!$D$91</definedName>
    <definedName name="Total_User_Downtime">'Main Data'!$D$92</definedName>
    <definedName name="User_Beam_Days">'Main Data'!$E$91</definedName>
    <definedName name="X_ray_Availability">'Main Data'!$D$98</definedName>
  </definedNames>
  <calcPr fullCalcOnLoad="1"/>
  <pivotCaches>
    <pivotCache cacheId="15" r:id="rId5"/>
    <pivotCache cacheId="12" r:id="rId6"/>
  </pivotCaches>
</workbook>
</file>

<file path=xl/sharedStrings.xml><?xml version="1.0" encoding="utf-8"?>
<sst xmlns="http://schemas.openxmlformats.org/spreadsheetml/2006/main" count="209" uniqueCount="92">
  <si>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</si>
  <si>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</si>
  <si>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</si>
  <si>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</si>
  <si>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</si>
  <si>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</si>
  <si>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</si>
  <si>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</si>
  <si>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</si>
  <si>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</si>
  <si>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</si>
  <si>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</si>
  <si>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</si>
  <si>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</si>
  <si>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</si>
  <si>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</si>
  <si>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</si>
  <si>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</si>
  <si>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</si>
  <si>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</si>
  <si>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</si>
  <si>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</si>
  <si>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</si>
  <si>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</si>
  <si>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</si>
  <si>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</si>
  <si>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</si>
  <si>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</si>
  <si>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</si>
  <si>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</si>
  <si>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</si>
  <si>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</si>
  <si>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</si>
  <si>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</si>
  <si>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</si>
  <si>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</si>
  <si>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</si>
  <si>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</si>
  <si>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</si>
  <si>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</si>
  <si>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</si>
  <si>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</si>
  <si>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</si>
  <si>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</si>
  <si>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</si>
  <si>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</si>
  <si>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</si>
  <si>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</si>
  <si>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</si>
  <si>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</si>
  <si>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</si>
  <si>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</si>
  <si>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</si>
  <si>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</si>
  <si>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</si>
  <si>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</si>
  <si>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</si>
  <si>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</si>
  <si>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</si>
  <si>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</si>
  <si>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</si>
  <si>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</si>
  <si>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</si>
  <si>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</si>
  <si>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</si>
  <si>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</si>
  <si>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</si>
  <si>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</si>
  <si>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UNK</t>
  </si>
  <si>
    <t>Sum of System 
Length</t>
  </si>
  <si>
    <t>ComEd</t>
  </si>
  <si>
    <t>Downtime for Run 2017-2</t>
  </si>
  <si>
    <t>Run 2017-2</t>
  </si>
  <si>
    <t>VAC</t>
  </si>
  <si>
    <t>OTH</t>
  </si>
  <si>
    <t>Vacuum leak and L2 recovery</t>
  </si>
  <si>
    <t>ComEd Volt. Sag [OTH]</t>
  </si>
  <si>
    <t>S8A:Q4 P.S. fault[PS]</t>
  </si>
  <si>
    <t>2 p.s. swapped, conditioned, refilled</t>
  </si>
  <si>
    <t>RF4 klystron Mag flt[RF]</t>
  </si>
  <si>
    <t>Investigation, waveguide switch, refill</t>
  </si>
  <si>
    <t>S38 RF Cav3 tuner[RF]</t>
  </si>
  <si>
    <t>Water flow flt [MOM]</t>
  </si>
  <si>
    <t>Under Investigation</t>
  </si>
  <si>
    <t>S37 hybrid ld. flt. [MOM]</t>
  </si>
  <si>
    <t>S2A:V3 P.S. glitch[PS]</t>
  </si>
  <si>
    <t>Admin. stand-down[OTH]</t>
  </si>
  <si>
    <t>Starting Supplemental</t>
  </si>
  <si>
    <t>Intentional Dump</t>
  </si>
  <si>
    <t>S38 RF cavity #3 tuner card</t>
  </si>
  <si>
    <t xml:space="preserve">S38 IG fault [RF]        </t>
  </si>
  <si>
    <t>Vacuum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</si>
</sst>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8" xfId="0" applyNumberFormat="1" applyBorder="1" applyAlignment="1">
      <alignment/>
    </xf>
    <xf numFmtId="0" fontId="0" fillId="37" borderId="29" xfId="0" applyNumberFormat="1" applyFont="1" applyFill="1" applyBorder="1" applyAlignment="1">
      <alignment horizontal="right"/>
    </xf>
    <xf numFmtId="164" fontId="0" fillId="37" borderId="29" xfId="0" applyNumberFormat="1" applyFont="1" applyFill="1" applyBorder="1" applyAlignment="1">
      <alignment/>
    </xf>
    <xf numFmtId="2" fontId="0" fillId="38" borderId="29" xfId="0" applyNumberFormat="1" applyFont="1" applyFill="1" applyBorder="1" applyAlignment="1">
      <alignment horizontal="right"/>
    </xf>
    <xf numFmtId="0" fontId="0" fillId="37" borderId="29" xfId="0" applyNumberFormat="1" applyFont="1" applyFill="1" applyBorder="1" applyAlignment="1">
      <alignment horizontal="center"/>
    </xf>
    <xf numFmtId="164" fontId="0" fillId="37" borderId="29" xfId="0" applyNumberFormat="1" applyFont="1" applyFill="1" applyBorder="1" applyAlignment="1">
      <alignment horizontal="center"/>
    </xf>
    <xf numFmtId="0" fontId="0" fillId="37" borderId="29" xfId="0" applyNumberFormat="1" applyFont="1" applyFill="1" applyBorder="1" applyAlignment="1" applyProtection="1">
      <alignment/>
      <protection/>
    </xf>
    <xf numFmtId="0" fontId="0" fillId="37" borderId="29" xfId="0" applyNumberFormat="1" applyFont="1" applyFill="1" applyBorder="1" applyAlignment="1" applyProtection="1">
      <alignment/>
      <protection locked="0"/>
    </xf>
    <xf numFmtId="0" fontId="0" fillId="37" borderId="29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/>
    </xf>
    <xf numFmtId="2" fontId="0" fillId="35" borderId="29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30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9" xfId="0" applyNumberFormat="1" applyFont="1" applyFill="1" applyBorder="1" applyAlignment="1">
      <alignment horizontal="right"/>
    </xf>
    <xf numFmtId="164" fontId="0" fillId="43" borderId="29" xfId="0" applyNumberFormat="1" applyFont="1" applyFill="1" applyBorder="1" applyAlignment="1">
      <alignment/>
    </xf>
    <xf numFmtId="2" fontId="0" fillId="44" borderId="29" xfId="0" applyNumberFormat="1" applyFont="1" applyFill="1" applyBorder="1" applyAlignment="1">
      <alignment horizontal="right"/>
    </xf>
    <xf numFmtId="0" fontId="0" fillId="43" borderId="29" xfId="0" applyNumberFormat="1" applyFont="1" applyFill="1" applyBorder="1" applyAlignment="1" applyProtection="1">
      <alignment/>
      <protection/>
    </xf>
    <xf numFmtId="0" fontId="0" fillId="43" borderId="29" xfId="0" applyNumberFormat="1" applyFont="1" applyFill="1" applyBorder="1" applyAlignment="1" applyProtection="1">
      <alignment/>
      <protection locked="0"/>
    </xf>
    <xf numFmtId="0" fontId="0" fillId="43" borderId="29" xfId="0" applyNumberFormat="1" applyFont="1" applyFill="1" applyBorder="1" applyAlignment="1" applyProtection="1">
      <alignment horizontal="left"/>
      <protection/>
    </xf>
    <xf numFmtId="164" fontId="0" fillId="45" borderId="29" xfId="0" applyNumberFormat="1" applyFont="1" applyFill="1" applyBorder="1" applyAlignment="1">
      <alignment/>
    </xf>
    <xf numFmtId="2" fontId="0" fillId="46" borderId="29" xfId="0" applyNumberFormat="1" applyFont="1" applyFill="1" applyBorder="1" applyAlignment="1">
      <alignment horizontal="right"/>
    </xf>
    <xf numFmtId="0" fontId="0" fillId="45" borderId="29" xfId="0" applyNumberFormat="1" applyFont="1" applyFill="1" applyBorder="1" applyAlignment="1" applyProtection="1">
      <alignment/>
      <protection/>
    </xf>
    <xf numFmtId="0" fontId="0" fillId="45" borderId="29" xfId="0" applyNumberFormat="1" applyFont="1" applyFill="1" applyBorder="1" applyAlignment="1" applyProtection="1">
      <alignment/>
      <protection locked="0"/>
    </xf>
    <xf numFmtId="0" fontId="0" fillId="45" borderId="29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1" xfId="0" applyNumberFormat="1" applyBorder="1" applyAlignment="1">
      <alignment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2017-2 Downtime by System 
May 31 - August 24, 2017
 Scheduled User Time =  1720 hours     
User downtime= 109.08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2017-2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0.0031879844961602366</c:v>
                </c:pt>
                <c:pt idx="1">
                  <c:v>0</c:v>
                </c:pt>
                <c:pt idx="2">
                  <c:v>0.001521317829543148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0.0007267441860803779</c:v>
                </c:pt>
                <c:pt idx="8">
                  <c:v>0.00016472868219987764</c:v>
                </c:pt>
                <c:pt idx="9">
                  <c:v>0.010813953488291238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0.0003003875969646622</c:v>
                </c:pt>
                <c:pt idx="14">
                  <c:v>0</c:v>
                </c:pt>
                <c:pt idx="15">
                  <c:v>0.04631782945737719</c:v>
                </c:pt>
                <c:pt idx="16">
                  <c:v>0</c:v>
                </c:pt>
                <c:pt idx="17">
                  <c:v>0.00038759689926994153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Vacuum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30790451"/>
        <c:axId val="8678604"/>
      </c:bar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0451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2017-2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2017-2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0.04469504940252648</c:v>
                </c:pt>
                <c:pt idx="1">
                  <c:v>0</c:v>
                </c:pt>
                <c:pt idx="2">
                  <c:v>0.02979669960168432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0.02979669960168432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0.01489834980084216</c:v>
                </c:pt>
                <c:pt idx="14">
                  <c:v>0</c:v>
                </c:pt>
                <c:pt idx="15">
                  <c:v>0.01489834980084216</c:v>
                </c:pt>
                <c:pt idx="16">
                  <c:v>0</c:v>
                </c:pt>
                <c:pt idx="17">
                  <c:v>0.01489834980084216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8294"/>
        <c:crossesAt val="0"/>
        <c:auto val="1"/>
        <c:lblOffset val="100"/>
        <c:tickLblSkip val="1"/>
        <c:noMultiLvlLbl val="0"/>
      </c:catAx>
      <c:valAx>
        <c:axId val="3187829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8573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87</xdr:row>
      <xdr:rowOff>76200</xdr:rowOff>
    </xdr:from>
    <xdr:to>
      <xdr:col>11</xdr:col>
      <xdr:colOff>85725</xdr:colOff>
      <xdr:row>88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972550" y="15821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85725</xdr:rowOff>
    </xdr:from>
    <xdr:to>
      <xdr:col>11</xdr:col>
      <xdr:colOff>85725</xdr:colOff>
      <xdr:row>46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972550" y="90106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4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3">
        <m/>
        <s v="VAC"/>
        <s v="OTH"/>
        <s v="AOP"/>
        <s v="ComEd"/>
        <s v="PS"/>
        <s v="RF"/>
        <s v="MOM"/>
        <s v="UNK"/>
        <s v="SI"/>
        <s v="CTL"/>
        <s v="BL"/>
        <s v="DIA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h="1" x="0"/>
        <item x="5"/>
        <item x="6"/>
        <item m="1" x="12"/>
        <item x="7"/>
        <item m="1" x="11"/>
        <item x="3"/>
        <item m="1" x="9"/>
        <item x="4"/>
        <item m="1" x="10"/>
        <item x="8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9">
    <i>
      <x v="1"/>
    </i>
    <i>
      <x v="2"/>
    </i>
    <i>
      <x v="4"/>
    </i>
    <i>
      <x v="6"/>
    </i>
    <i>
      <x v="8"/>
    </i>
    <i>
      <x v="10"/>
    </i>
    <i>
      <x v="11"/>
    </i>
    <i>
      <x v="12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5"/>
  <sheetViews>
    <sheetView zoomScale="75" zoomScaleNormal="75" zoomScaleSheetLayoutView="110" zoomScalePageLayoutView="0" workbookViewId="0" topLeftCell="A1">
      <pane ySplit="4" topLeftCell="A26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6.7109375" style="1" customWidth="1"/>
    <col min="2" max="2" width="17.2812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9" t="s">
        <v>71</v>
      </c>
      <c r="B2" s="179"/>
      <c r="C2" s="179"/>
      <c r="D2" s="179"/>
      <c r="E2" s="179"/>
      <c r="F2" s="179"/>
      <c r="G2" s="179"/>
      <c r="H2" s="179"/>
      <c r="I2" s="179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99" t="s">
        <v>3</v>
      </c>
      <c r="B4" s="100" t="s">
        <v>4</v>
      </c>
      <c r="C4" s="100" t="s">
        <v>5</v>
      </c>
      <c r="D4" s="101" t="s">
        <v>6</v>
      </c>
      <c r="E4" s="102" t="s">
        <v>7</v>
      </c>
      <c r="F4" s="99" t="s">
        <v>8</v>
      </c>
      <c r="G4" s="103" t="s">
        <v>9</v>
      </c>
      <c r="H4" s="100" t="s">
        <v>4</v>
      </c>
      <c r="I4" s="100" t="s">
        <v>5</v>
      </c>
      <c r="J4" s="104" t="s">
        <v>10</v>
      </c>
      <c r="K4" s="105" t="s">
        <v>11</v>
      </c>
      <c r="L4" s="106" t="s">
        <v>12</v>
      </c>
      <c r="M4" s="107" t="s">
        <v>13</v>
      </c>
      <c r="N4" s="107" t="s">
        <v>14</v>
      </c>
      <c r="O4" s="106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35" customFormat="1" ht="12.75">
      <c r="A5" s="124"/>
      <c r="B5" s="125"/>
      <c r="C5" s="125"/>
      <c r="D5" s="126">
        <f>(C5-B5)*24</f>
        <v>0</v>
      </c>
      <c r="E5" s="125"/>
      <c r="F5" s="127">
        <v>106673</v>
      </c>
      <c r="G5" s="128"/>
      <c r="H5" s="125">
        <v>42886.333333333336</v>
      </c>
      <c r="I5" s="125">
        <v>42887.353472222225</v>
      </c>
      <c r="J5" s="126">
        <f>(I5-H5)*24</f>
        <v>24.483333333337214</v>
      </c>
      <c r="K5" s="126"/>
      <c r="L5" s="129"/>
      <c r="M5" s="130"/>
      <c r="N5" s="130"/>
      <c r="O5" s="131"/>
      <c r="P5" s="125" t="s">
        <v>75</v>
      </c>
      <c r="Q5" s="132">
        <f aca="true" t="shared" si="0" ref="Q5:Q33">IF($O5="Store Lost",1,"")</f>
      </c>
      <c r="R5" s="132">
        <f aca="true" t="shared" si="1" ref="R5:R34">IF($O5="Scheduled",1,"")</f>
      </c>
      <c r="S5" s="132">
        <f aca="true" t="shared" si="2" ref="S5:S34">IF($O5="Inhibits beam to user",1,"")</f>
      </c>
      <c r="T5" s="133">
        <f aca="true" t="shared" si="3" ref="T5:T16">SUM(Q5:S5)</f>
        <v>0</v>
      </c>
      <c r="U5" s="134"/>
      <c r="V5" s="134"/>
      <c r="W5" s="134"/>
    </row>
    <row r="6" spans="1:23" s="135" customFormat="1" ht="12.75">
      <c r="A6" s="136"/>
      <c r="B6" s="137"/>
      <c r="C6" s="137"/>
      <c r="D6" s="138"/>
      <c r="E6" s="137"/>
      <c r="F6" s="139"/>
      <c r="G6" s="140"/>
      <c r="H6" s="157">
        <v>42886.333333333336</v>
      </c>
      <c r="I6" s="157">
        <v>42887.10833333333</v>
      </c>
      <c r="J6" s="158"/>
      <c r="K6" s="158">
        <f>(I6-H6)*24</f>
        <v>18.5999999998603</v>
      </c>
      <c r="L6" s="159" t="s">
        <v>73</v>
      </c>
      <c r="M6" s="160" t="s">
        <v>73</v>
      </c>
      <c r="N6" s="160" t="s">
        <v>73</v>
      </c>
      <c r="O6" s="161" t="s">
        <v>66</v>
      </c>
      <c r="P6" s="157"/>
      <c r="Q6" s="132">
        <f t="shared" si="0"/>
      </c>
      <c r="R6" s="132">
        <f t="shared" si="1"/>
      </c>
      <c r="S6" s="132">
        <f t="shared" si="2"/>
        <v>1</v>
      </c>
      <c r="T6" s="133">
        <f>SUM(Q6:S6)</f>
        <v>1</v>
      </c>
      <c r="U6" s="134"/>
      <c r="V6" s="134"/>
      <c r="W6" s="134"/>
    </row>
    <row r="7" spans="1:23" s="135" customFormat="1" ht="12.75">
      <c r="A7" s="136"/>
      <c r="B7" s="137"/>
      <c r="C7" s="137"/>
      <c r="D7" s="138"/>
      <c r="E7" s="137"/>
      <c r="F7" s="139"/>
      <c r="G7" s="140"/>
      <c r="H7" s="162">
        <v>42887.10833333333</v>
      </c>
      <c r="I7" s="162">
        <v>42887.34166666667</v>
      </c>
      <c r="J7" s="163"/>
      <c r="K7" s="163">
        <f>(I7-H7)*24</f>
        <v>5.600000000093132</v>
      </c>
      <c r="L7" s="164" t="s">
        <v>74</v>
      </c>
      <c r="M7" s="165" t="s">
        <v>74</v>
      </c>
      <c r="N7" s="165" t="s">
        <v>74</v>
      </c>
      <c r="O7" s="166" t="s">
        <v>66</v>
      </c>
      <c r="P7" s="162"/>
      <c r="Q7" s="132">
        <f t="shared" si="0"/>
      </c>
      <c r="R7" s="132">
        <f t="shared" si="1"/>
      </c>
      <c r="S7" s="132">
        <f t="shared" si="2"/>
        <v>1</v>
      </c>
      <c r="T7" s="133">
        <f>SUM(Q7:S7)</f>
        <v>1</v>
      </c>
      <c r="U7" s="134"/>
      <c r="V7" s="134"/>
      <c r="W7" s="134"/>
    </row>
    <row r="8" spans="1:23" s="135" customFormat="1" ht="12.75">
      <c r="A8" s="136"/>
      <c r="B8" s="137"/>
      <c r="C8" s="137"/>
      <c r="D8" s="138"/>
      <c r="E8" s="137"/>
      <c r="F8" s="139"/>
      <c r="G8" s="140"/>
      <c r="H8" s="157">
        <v>42887.34166666667</v>
      </c>
      <c r="I8" s="157">
        <v>42887.353472222225</v>
      </c>
      <c r="J8" s="158"/>
      <c r="K8" s="158">
        <f>(I8-H8)*24</f>
        <v>0.28333333338378</v>
      </c>
      <c r="L8" s="159" t="s">
        <v>65</v>
      </c>
      <c r="M8" s="160" t="s">
        <v>65</v>
      </c>
      <c r="N8" s="160" t="s">
        <v>65</v>
      </c>
      <c r="O8" s="161" t="s">
        <v>66</v>
      </c>
      <c r="P8" s="157"/>
      <c r="Q8" s="132">
        <f t="shared" si="0"/>
      </c>
      <c r="R8" s="132">
        <f t="shared" si="1"/>
      </c>
      <c r="S8" s="132">
        <f t="shared" si="2"/>
        <v>1</v>
      </c>
      <c r="T8" s="133">
        <f>SUM(Q8:S8)</f>
        <v>1</v>
      </c>
      <c r="U8" s="134"/>
      <c r="V8" s="134"/>
      <c r="W8" s="134"/>
    </row>
    <row r="9" spans="1:23" s="120" customFormat="1" ht="15.75" customHeight="1">
      <c r="A9" s="136">
        <v>1</v>
      </c>
      <c r="B9" s="137">
        <v>42887.353472222225</v>
      </c>
      <c r="C9" s="137">
        <v>42891.333333333336</v>
      </c>
      <c r="D9" s="138">
        <f>(C9-B9)*24</f>
        <v>95.51666666666279</v>
      </c>
      <c r="E9" s="137" t="s">
        <v>67</v>
      </c>
      <c r="F9" s="139"/>
      <c r="G9" s="140"/>
      <c r="H9" s="137"/>
      <c r="I9" s="137"/>
      <c r="J9" s="138">
        <f>(I9-H9)*24</f>
        <v>0</v>
      </c>
      <c r="K9" s="138">
        <f>(I9-H9)*24</f>
        <v>0</v>
      </c>
      <c r="L9" s="141"/>
      <c r="M9" s="142"/>
      <c r="N9" s="142"/>
      <c r="O9" s="143" t="s">
        <v>21</v>
      </c>
      <c r="P9" s="137"/>
      <c r="Q9" s="132">
        <f t="shared" si="0"/>
      </c>
      <c r="R9" s="132">
        <f t="shared" si="1"/>
        <v>1</v>
      </c>
      <c r="S9" s="132">
        <f t="shared" si="2"/>
      </c>
      <c r="T9" s="133">
        <f t="shared" si="3"/>
        <v>1</v>
      </c>
      <c r="U9" s="119"/>
      <c r="V9" s="119"/>
      <c r="W9" s="119"/>
    </row>
    <row r="10" spans="1:23" s="155" customFormat="1" ht="12.75">
      <c r="A10" s="144"/>
      <c r="B10" s="145"/>
      <c r="C10" s="145"/>
      <c r="D10" s="146">
        <f>SUM(D5:D9)</f>
        <v>95.51666666666279</v>
      </c>
      <c r="E10" s="147"/>
      <c r="F10" s="148"/>
      <c r="G10" s="149"/>
      <c r="H10" s="150"/>
      <c r="I10" s="150"/>
      <c r="J10" s="151">
        <f>SUM(J5:J9)</f>
        <v>24.483333333337214</v>
      </c>
      <c r="K10" s="151">
        <f>SUM(K5:K9)</f>
        <v>24.483333333337214</v>
      </c>
      <c r="L10" s="152"/>
      <c r="M10" s="153"/>
      <c r="N10" s="153"/>
      <c r="O10" s="154"/>
      <c r="P10" s="147"/>
      <c r="Q10" s="132">
        <f t="shared" si="0"/>
      </c>
      <c r="R10" s="132">
        <f t="shared" si="1"/>
      </c>
      <c r="S10" s="132">
        <f t="shared" si="2"/>
      </c>
      <c r="T10" s="133">
        <f t="shared" si="3"/>
        <v>0</v>
      </c>
      <c r="U10" s="30"/>
      <c r="V10" s="30"/>
      <c r="W10" s="30"/>
    </row>
    <row r="11" spans="1:23" s="120" customFormat="1" ht="15.75" customHeight="1">
      <c r="A11" s="136">
        <v>2</v>
      </c>
      <c r="B11" s="137">
        <v>42892.333333333336</v>
      </c>
      <c r="C11" s="137">
        <v>42898.333333333336</v>
      </c>
      <c r="D11" s="138">
        <f>(C11-B11)*24</f>
        <v>144</v>
      </c>
      <c r="E11" s="137" t="s">
        <v>67</v>
      </c>
      <c r="F11" s="139"/>
      <c r="G11" s="140"/>
      <c r="H11" s="137"/>
      <c r="I11" s="137"/>
      <c r="J11" s="138">
        <f>(I11-H11)*24</f>
        <v>0</v>
      </c>
      <c r="K11" s="138">
        <f>(I11-H11)*24</f>
        <v>0</v>
      </c>
      <c r="L11" s="141"/>
      <c r="M11" s="142"/>
      <c r="N11" s="142"/>
      <c r="O11" s="143" t="s">
        <v>21</v>
      </c>
      <c r="P11" s="137"/>
      <c r="Q11" s="132">
        <f t="shared" si="0"/>
      </c>
      <c r="R11" s="132">
        <f t="shared" si="1"/>
        <v>1</v>
      </c>
      <c r="S11" s="132">
        <f t="shared" si="2"/>
      </c>
      <c r="T11" s="133">
        <f>SUM(Q11:S11)</f>
        <v>1</v>
      </c>
      <c r="U11" s="119"/>
      <c r="V11" s="119"/>
      <c r="W11" s="119"/>
    </row>
    <row r="12" spans="1:23" s="155" customFormat="1" ht="12.75">
      <c r="A12" s="144"/>
      <c r="B12" s="145"/>
      <c r="C12" s="145"/>
      <c r="D12" s="146">
        <f>SUM(D11:D11)</f>
        <v>144</v>
      </c>
      <c r="E12" s="147"/>
      <c r="F12" s="148"/>
      <c r="G12" s="149"/>
      <c r="H12" s="150"/>
      <c r="I12" s="150"/>
      <c r="J12" s="151">
        <f>SUM(J11:J11)</f>
        <v>0</v>
      </c>
      <c r="K12" s="151">
        <f>SUM(K11:K11)</f>
        <v>0</v>
      </c>
      <c r="L12" s="152"/>
      <c r="M12" s="153"/>
      <c r="N12" s="153"/>
      <c r="O12" s="154"/>
      <c r="P12" s="147"/>
      <c r="Q12" s="132">
        <f t="shared" si="0"/>
      </c>
      <c r="R12" s="132">
        <f t="shared" si="1"/>
      </c>
      <c r="S12" s="132">
        <f t="shared" si="2"/>
      </c>
      <c r="T12" s="133">
        <f>SUM(Q12:S12)</f>
        <v>0</v>
      </c>
      <c r="U12" s="30"/>
      <c r="V12" s="30"/>
      <c r="W12" s="30"/>
    </row>
    <row r="13" spans="1:23" s="120" customFormat="1" ht="15.75" customHeight="1">
      <c r="A13" s="124">
        <v>3</v>
      </c>
      <c r="B13" s="125">
        <v>42899.333333333336</v>
      </c>
      <c r="C13" s="125">
        <v>42899.84305555555</v>
      </c>
      <c r="D13" s="156">
        <f>(C13-B13)*24</f>
        <v>12.233333333220799</v>
      </c>
      <c r="E13" s="125" t="s">
        <v>76</v>
      </c>
      <c r="F13" s="127">
        <v>106675</v>
      </c>
      <c r="G13" s="128"/>
      <c r="H13" s="125">
        <v>42899.84305555555</v>
      </c>
      <c r="I13" s="125">
        <v>42899.864583333336</v>
      </c>
      <c r="J13" s="156">
        <f>(I13-H13)*24</f>
        <v>0.5166666667792015</v>
      </c>
      <c r="K13" s="156">
        <f>(I13-H13)*24</f>
        <v>0.5166666667792015</v>
      </c>
      <c r="L13" s="129" t="s">
        <v>70</v>
      </c>
      <c r="M13" s="130" t="s">
        <v>70</v>
      </c>
      <c r="N13" s="130" t="s">
        <v>70</v>
      </c>
      <c r="O13" s="131" t="s">
        <v>17</v>
      </c>
      <c r="P13" s="125"/>
      <c r="Q13" s="132">
        <f t="shared" si="0"/>
        <v>1</v>
      </c>
      <c r="R13" s="132">
        <f t="shared" si="1"/>
      </c>
      <c r="S13" s="132">
        <f t="shared" si="2"/>
      </c>
      <c r="T13" s="133">
        <f>SUM(Q13:S13)</f>
        <v>1</v>
      </c>
      <c r="U13" s="119"/>
      <c r="V13" s="119"/>
      <c r="W13" s="119"/>
    </row>
    <row r="14" spans="1:23" s="120" customFormat="1" ht="15.75" customHeight="1">
      <c r="A14" s="136">
        <v>4</v>
      </c>
      <c r="B14" s="137">
        <v>42899.864583333336</v>
      </c>
      <c r="C14" s="137">
        <v>42905.333333333336</v>
      </c>
      <c r="D14" s="138">
        <f>(C14-B14)*24</f>
        <v>131.25</v>
      </c>
      <c r="E14" s="137" t="s">
        <v>67</v>
      </c>
      <c r="F14" s="139"/>
      <c r="G14" s="140"/>
      <c r="H14" s="137"/>
      <c r="I14" s="137"/>
      <c r="J14" s="138">
        <f>(I14-H14)*24</f>
        <v>0</v>
      </c>
      <c r="K14" s="138">
        <f>(I14-H14)*24</f>
        <v>0</v>
      </c>
      <c r="L14" s="141"/>
      <c r="M14" s="142"/>
      <c r="N14" s="142"/>
      <c r="O14" s="143" t="s">
        <v>21</v>
      </c>
      <c r="P14" s="137"/>
      <c r="Q14" s="132">
        <f t="shared" si="0"/>
      </c>
      <c r="R14" s="132">
        <f t="shared" si="1"/>
        <v>1</v>
      </c>
      <c r="S14" s="132">
        <f t="shared" si="2"/>
      </c>
      <c r="T14" s="133">
        <f t="shared" si="3"/>
        <v>1</v>
      </c>
      <c r="U14" s="119"/>
      <c r="V14" s="119"/>
      <c r="W14" s="119"/>
    </row>
    <row r="15" spans="1:23" s="155" customFormat="1" ht="12.75">
      <c r="A15" s="144"/>
      <c r="B15" s="145"/>
      <c r="C15" s="145"/>
      <c r="D15" s="146">
        <f>SUM(D13:D14)</f>
        <v>143.4833333332208</v>
      </c>
      <c r="E15" s="147"/>
      <c r="F15" s="148"/>
      <c r="G15" s="149"/>
      <c r="H15" s="150"/>
      <c r="I15" s="150"/>
      <c r="J15" s="151">
        <f>SUM(J13:J14)</f>
        <v>0.5166666667792015</v>
      </c>
      <c r="K15" s="151">
        <f>SUM(K13:K14)</f>
        <v>0.5166666667792015</v>
      </c>
      <c r="L15" s="152"/>
      <c r="M15" s="153"/>
      <c r="N15" s="153"/>
      <c r="O15" s="154"/>
      <c r="P15" s="147"/>
      <c r="Q15" s="132">
        <f t="shared" si="0"/>
      </c>
      <c r="R15" s="132">
        <f t="shared" si="1"/>
      </c>
      <c r="S15" s="132">
        <f t="shared" si="2"/>
      </c>
      <c r="T15" s="133">
        <f t="shared" si="3"/>
        <v>0</v>
      </c>
      <c r="U15" s="30"/>
      <c r="V15" s="30"/>
      <c r="W15" s="30"/>
    </row>
    <row r="16" spans="1:23" s="120" customFormat="1" ht="15.75" customHeight="1">
      <c r="A16" s="124">
        <v>5</v>
      </c>
      <c r="B16" s="125">
        <v>42906.333333333336</v>
      </c>
      <c r="C16" s="125">
        <v>42908.78958333333</v>
      </c>
      <c r="D16" s="156">
        <f>(C16-B16)*24</f>
        <v>58.949999999895226</v>
      </c>
      <c r="E16" s="125" t="s">
        <v>77</v>
      </c>
      <c r="F16" s="127">
        <v>106678</v>
      </c>
      <c r="G16" s="128"/>
      <c r="H16" s="125">
        <v>42908.78958333333</v>
      </c>
      <c r="I16" s="125">
        <v>42908.87569444445</v>
      </c>
      <c r="J16" s="156">
        <f>(I16-H16)*24</f>
        <v>2.06666666676756</v>
      </c>
      <c r="K16" s="156">
        <f>(I16-H16)*24</f>
        <v>2.06666666676756</v>
      </c>
      <c r="L16" s="129" t="s">
        <v>22</v>
      </c>
      <c r="M16" s="130" t="s">
        <v>22</v>
      </c>
      <c r="N16" s="130" t="s">
        <v>22</v>
      </c>
      <c r="O16" s="131" t="s">
        <v>17</v>
      </c>
      <c r="P16" s="125" t="s">
        <v>78</v>
      </c>
      <c r="Q16" s="132">
        <f t="shared" si="0"/>
        <v>1</v>
      </c>
      <c r="R16" s="132">
        <f t="shared" si="1"/>
      </c>
      <c r="S16" s="132">
        <f t="shared" si="2"/>
      </c>
      <c r="T16" s="133">
        <f t="shared" si="3"/>
        <v>1</v>
      </c>
      <c r="U16" s="119"/>
      <c r="V16" s="119"/>
      <c r="W16" s="119"/>
    </row>
    <row r="17" spans="1:23" s="120" customFormat="1" ht="15.75" customHeight="1">
      <c r="A17" s="136">
        <v>6</v>
      </c>
      <c r="B17" s="137">
        <v>42908.87569444445</v>
      </c>
      <c r="C17" s="137">
        <v>42912.333333333336</v>
      </c>
      <c r="D17" s="138">
        <f>(C17-B17)*24</f>
        <v>82.98333333333721</v>
      </c>
      <c r="E17" s="137" t="s">
        <v>67</v>
      </c>
      <c r="F17" s="139"/>
      <c r="G17" s="140"/>
      <c r="H17" s="137"/>
      <c r="I17" s="137"/>
      <c r="J17" s="138">
        <f>(I17-H17)*24</f>
        <v>0</v>
      </c>
      <c r="K17" s="138">
        <f>(I17-H17)*24</f>
        <v>0</v>
      </c>
      <c r="L17" s="141"/>
      <c r="M17" s="142"/>
      <c r="N17" s="142"/>
      <c r="O17" s="143" t="s">
        <v>21</v>
      </c>
      <c r="P17" s="137"/>
      <c r="Q17" s="132">
        <f t="shared" si="0"/>
      </c>
      <c r="R17" s="132">
        <f t="shared" si="1"/>
        <v>1</v>
      </c>
      <c r="S17" s="132">
        <f t="shared" si="2"/>
      </c>
      <c r="T17" s="133">
        <f aca="true" t="shared" si="4" ref="T17:T25">SUM(Q17:S17)</f>
        <v>1</v>
      </c>
      <c r="U17" s="119"/>
      <c r="V17" s="119"/>
      <c r="W17" s="119"/>
    </row>
    <row r="18" spans="1:23" s="155" customFormat="1" ht="12.75">
      <c r="A18" s="144"/>
      <c r="B18" s="145"/>
      <c r="C18" s="145"/>
      <c r="D18" s="146">
        <f>SUM(D16:D17)</f>
        <v>141.93333333323244</v>
      </c>
      <c r="E18" s="147"/>
      <c r="F18" s="148"/>
      <c r="G18" s="149"/>
      <c r="H18" s="150"/>
      <c r="I18" s="150"/>
      <c r="J18" s="151">
        <f>SUM(J16:J17)</f>
        <v>2.06666666676756</v>
      </c>
      <c r="K18" s="151">
        <f>SUM(K16:K17)</f>
        <v>2.06666666676756</v>
      </c>
      <c r="L18" s="152"/>
      <c r="M18" s="153"/>
      <c r="N18" s="153"/>
      <c r="O18" s="154"/>
      <c r="P18" s="147"/>
      <c r="Q18" s="132">
        <f t="shared" si="0"/>
      </c>
      <c r="R18" s="132">
        <f t="shared" si="1"/>
      </c>
      <c r="S18" s="132">
        <f t="shared" si="2"/>
      </c>
      <c r="T18" s="133">
        <f t="shared" si="4"/>
        <v>0</v>
      </c>
      <c r="U18" s="30"/>
      <c r="V18" s="30"/>
      <c r="W18" s="30"/>
    </row>
    <row r="19" spans="1:23" s="120" customFormat="1" ht="15.75" customHeight="1">
      <c r="A19" s="124">
        <v>7</v>
      </c>
      <c r="B19" s="125">
        <v>42914.333333333336</v>
      </c>
      <c r="C19" s="125">
        <v>42917.74513888889</v>
      </c>
      <c r="D19" s="156">
        <f>(C19-B19)*24</f>
        <v>81.88333333324408</v>
      </c>
      <c r="E19" s="125" t="s">
        <v>79</v>
      </c>
      <c r="F19" s="127">
        <v>106680</v>
      </c>
      <c r="G19" s="128"/>
      <c r="H19" s="125">
        <v>42917.74513888889</v>
      </c>
      <c r="I19" s="125">
        <v>42917.84930555556</v>
      </c>
      <c r="J19" s="156">
        <f>(I19-H19)*24</f>
        <v>2.5000000001164153</v>
      </c>
      <c r="K19" s="156">
        <f>(I19-H19)*24</f>
        <v>2.5000000001164153</v>
      </c>
      <c r="L19" s="129" t="s">
        <v>23</v>
      </c>
      <c r="M19" s="130" t="s">
        <v>23</v>
      </c>
      <c r="N19" s="130" t="s">
        <v>23</v>
      </c>
      <c r="O19" s="131" t="s">
        <v>17</v>
      </c>
      <c r="P19" s="125" t="s">
        <v>80</v>
      </c>
      <c r="Q19" s="132">
        <f t="shared" si="0"/>
        <v>1</v>
      </c>
      <c r="R19" s="132">
        <f t="shared" si="1"/>
      </c>
      <c r="S19" s="132">
        <f t="shared" si="2"/>
      </c>
      <c r="T19" s="133">
        <f t="shared" si="4"/>
        <v>1</v>
      </c>
      <c r="U19" s="119"/>
      <c r="V19" s="119"/>
      <c r="W19" s="119"/>
    </row>
    <row r="20" spans="1:23" s="120" customFormat="1" ht="15.75" customHeight="1">
      <c r="A20" s="136">
        <v>8</v>
      </c>
      <c r="B20" s="137">
        <v>42917.84930555556</v>
      </c>
      <c r="C20" s="137">
        <v>42920.333333333336</v>
      </c>
      <c r="D20" s="138">
        <f>(C20-B20)*24</f>
        <v>59.6166666666395</v>
      </c>
      <c r="E20" s="137" t="s">
        <v>67</v>
      </c>
      <c r="F20" s="139"/>
      <c r="G20" s="140"/>
      <c r="H20" s="137"/>
      <c r="I20" s="137"/>
      <c r="J20" s="138">
        <f>(I20-H20)*24</f>
        <v>0</v>
      </c>
      <c r="K20" s="138">
        <f>(I20-H20)*24</f>
        <v>0</v>
      </c>
      <c r="L20" s="141"/>
      <c r="M20" s="142"/>
      <c r="N20" s="142"/>
      <c r="O20" s="143" t="s">
        <v>21</v>
      </c>
      <c r="P20" s="137"/>
      <c r="Q20" s="132">
        <f t="shared" si="0"/>
      </c>
      <c r="R20" s="132">
        <f t="shared" si="1"/>
        <v>1</v>
      </c>
      <c r="S20" s="132">
        <f t="shared" si="2"/>
      </c>
      <c r="T20" s="133">
        <f t="shared" si="4"/>
        <v>1</v>
      </c>
      <c r="U20" s="119"/>
      <c r="V20" s="119"/>
      <c r="W20" s="119"/>
    </row>
    <row r="21" spans="1:23" s="155" customFormat="1" ht="12.75">
      <c r="A21" s="144"/>
      <c r="B21" s="145"/>
      <c r="C21" s="145"/>
      <c r="D21" s="146">
        <f>SUM(D19:D20)</f>
        <v>141.49999999988358</v>
      </c>
      <c r="E21" s="147"/>
      <c r="F21" s="148"/>
      <c r="G21" s="149"/>
      <c r="H21" s="150"/>
      <c r="I21" s="150"/>
      <c r="J21" s="151">
        <f>SUM(J19:J20)</f>
        <v>2.5000000001164153</v>
      </c>
      <c r="K21" s="151">
        <f>SUM(K19:K20)</f>
        <v>2.5000000001164153</v>
      </c>
      <c r="L21" s="152"/>
      <c r="M21" s="153"/>
      <c r="N21" s="153"/>
      <c r="O21" s="154"/>
      <c r="P21" s="147"/>
      <c r="Q21" s="132">
        <f t="shared" si="0"/>
      </c>
      <c r="R21" s="132">
        <f t="shared" si="1"/>
      </c>
      <c r="S21" s="132">
        <f t="shared" si="2"/>
      </c>
      <c r="T21" s="133">
        <f t="shared" si="4"/>
        <v>0</v>
      </c>
      <c r="U21" s="30"/>
      <c r="V21" s="30"/>
      <c r="W21" s="30"/>
    </row>
    <row r="22" spans="1:23" s="120" customFormat="1" ht="15.75" customHeight="1">
      <c r="A22" s="124"/>
      <c r="B22" s="125"/>
      <c r="C22" s="125"/>
      <c r="D22" s="156">
        <f>(C22-B22)*24</f>
        <v>0</v>
      </c>
      <c r="E22" s="125" t="s">
        <v>89</v>
      </c>
      <c r="F22" s="127">
        <v>106682</v>
      </c>
      <c r="G22" s="128"/>
      <c r="H22" s="125">
        <v>42921.333333333336</v>
      </c>
      <c r="I22" s="125">
        <v>42921.34375</v>
      </c>
      <c r="J22" s="156">
        <f>(I22-H22)*24</f>
        <v>0.24999999994179234</v>
      </c>
      <c r="K22" s="156">
        <f>(I22-H22)*24</f>
        <v>0.24999999994179234</v>
      </c>
      <c r="L22" s="129" t="s">
        <v>23</v>
      </c>
      <c r="M22" s="130" t="s">
        <v>23</v>
      </c>
      <c r="N22" s="130" t="s">
        <v>23</v>
      </c>
      <c r="O22" s="131" t="s">
        <v>66</v>
      </c>
      <c r="P22" s="125"/>
      <c r="Q22" s="132">
        <f t="shared" si="0"/>
      </c>
      <c r="R22" s="132">
        <f t="shared" si="1"/>
      </c>
      <c r="S22" s="132">
        <f t="shared" si="2"/>
        <v>1</v>
      </c>
      <c r="T22" s="133">
        <f t="shared" si="4"/>
        <v>1</v>
      </c>
      <c r="U22" s="119"/>
      <c r="V22" s="119"/>
      <c r="W22" s="119"/>
    </row>
    <row r="23" spans="1:23" s="135" customFormat="1" ht="12.75">
      <c r="A23" s="136">
        <v>9</v>
      </c>
      <c r="B23" s="137">
        <v>42921.34375</v>
      </c>
      <c r="C23" s="137">
        <v>42922.20625</v>
      </c>
      <c r="D23" s="138">
        <f>(C23-B23)*24</f>
        <v>20.70000000006985</v>
      </c>
      <c r="E23" s="137" t="s">
        <v>81</v>
      </c>
      <c r="F23" s="139">
        <v>106683</v>
      </c>
      <c r="G23" s="140"/>
      <c r="H23" s="137">
        <v>42922.20625</v>
      </c>
      <c r="I23" s="137">
        <v>42922.30416666667</v>
      </c>
      <c r="J23" s="138">
        <f>(I23-H23)*24</f>
        <v>2.349999999976717</v>
      </c>
      <c r="K23" s="138">
        <f>(I23-H23)*24</f>
        <v>2.349999999976717</v>
      </c>
      <c r="L23" s="141" t="s">
        <v>23</v>
      </c>
      <c r="M23" s="142" t="s">
        <v>23</v>
      </c>
      <c r="N23" s="142" t="s">
        <v>23</v>
      </c>
      <c r="O23" s="143" t="s">
        <v>17</v>
      </c>
      <c r="P23" s="137"/>
      <c r="Q23" s="132">
        <f t="shared" si="0"/>
        <v>1</v>
      </c>
      <c r="R23" s="132">
        <f t="shared" si="1"/>
      </c>
      <c r="S23" s="132">
        <f t="shared" si="2"/>
      </c>
      <c r="T23" s="133">
        <f t="shared" si="4"/>
        <v>1</v>
      </c>
      <c r="U23" s="134"/>
      <c r="V23" s="134"/>
      <c r="W23" s="134"/>
    </row>
    <row r="24" spans="1:23" s="120" customFormat="1" ht="15.75" customHeight="1">
      <c r="A24" s="124">
        <v>10</v>
      </c>
      <c r="B24" s="125">
        <v>42922.30416666667</v>
      </c>
      <c r="C24" s="125">
        <v>42926.333333333336</v>
      </c>
      <c r="D24" s="156">
        <f>(C24-B24)*24</f>
        <v>96.70000000001164</v>
      </c>
      <c r="E24" s="125" t="s">
        <v>67</v>
      </c>
      <c r="F24" s="127"/>
      <c r="G24" s="128"/>
      <c r="H24" s="125"/>
      <c r="I24" s="125"/>
      <c r="J24" s="156">
        <f>(I24-H24)*24</f>
        <v>0</v>
      </c>
      <c r="K24" s="156">
        <f>(I24-H24)*24</f>
        <v>0</v>
      </c>
      <c r="L24" s="129"/>
      <c r="M24" s="130"/>
      <c r="N24" s="130"/>
      <c r="O24" s="131" t="s">
        <v>21</v>
      </c>
      <c r="P24" s="125"/>
      <c r="Q24" s="132">
        <f t="shared" si="0"/>
      </c>
      <c r="R24" s="132">
        <f t="shared" si="1"/>
        <v>1</v>
      </c>
      <c r="S24" s="132">
        <f t="shared" si="2"/>
      </c>
      <c r="T24" s="133">
        <f t="shared" si="4"/>
        <v>1</v>
      </c>
      <c r="U24" s="119"/>
      <c r="V24" s="119"/>
      <c r="W24" s="119"/>
    </row>
    <row r="25" spans="1:23" s="155" customFormat="1" ht="12.75">
      <c r="A25" s="144"/>
      <c r="B25" s="145"/>
      <c r="C25" s="145"/>
      <c r="D25" s="146">
        <f>SUM(D22:D24)</f>
        <v>117.40000000008149</v>
      </c>
      <c r="E25" s="147"/>
      <c r="F25" s="148"/>
      <c r="G25" s="149"/>
      <c r="H25" s="150"/>
      <c r="I25" s="150"/>
      <c r="J25" s="151">
        <f>SUM(J22:J24)</f>
        <v>2.5999999999185093</v>
      </c>
      <c r="K25" s="151">
        <f>SUM(K22:K24)</f>
        <v>2.5999999999185093</v>
      </c>
      <c r="L25" s="152"/>
      <c r="M25" s="153"/>
      <c r="N25" s="153"/>
      <c r="O25" s="154"/>
      <c r="P25" s="147"/>
      <c r="Q25" s="132">
        <f t="shared" si="0"/>
      </c>
      <c r="R25" s="132">
        <f t="shared" si="1"/>
      </c>
      <c r="S25" s="132">
        <f t="shared" si="2"/>
      </c>
      <c r="T25" s="133">
        <f t="shared" si="4"/>
        <v>0</v>
      </c>
      <c r="U25" s="30"/>
      <c r="V25" s="30"/>
      <c r="W25" s="30"/>
    </row>
    <row r="26" spans="1:23" s="120" customFormat="1" ht="15.75" customHeight="1">
      <c r="A26" s="124">
        <v>11</v>
      </c>
      <c r="B26" s="125">
        <v>42927.333333333336</v>
      </c>
      <c r="C26" s="125">
        <v>42931.92291666667</v>
      </c>
      <c r="D26" s="156">
        <f>(C26-B26)*24</f>
        <v>110.15000000002328</v>
      </c>
      <c r="E26" s="125" t="s">
        <v>82</v>
      </c>
      <c r="F26" s="127">
        <v>106687</v>
      </c>
      <c r="G26" s="128"/>
      <c r="H26" s="125">
        <v>42931.92291666667</v>
      </c>
      <c r="I26" s="125">
        <v>42931.94930555556</v>
      </c>
      <c r="J26" s="156">
        <f>(I26-H26)*24</f>
        <v>0.6333333333022892</v>
      </c>
      <c r="K26" s="156">
        <f>(I26-H26)*24</f>
        <v>0.6333333333022892</v>
      </c>
      <c r="L26" s="129" t="s">
        <v>24</v>
      </c>
      <c r="M26" s="130" t="s">
        <v>24</v>
      </c>
      <c r="N26" s="130" t="s">
        <v>24</v>
      </c>
      <c r="O26" s="131" t="s">
        <v>17</v>
      </c>
      <c r="P26" s="125"/>
      <c r="Q26" s="132">
        <f t="shared" si="0"/>
        <v>1</v>
      </c>
      <c r="R26" s="132">
        <f t="shared" si="1"/>
      </c>
      <c r="S26" s="132">
        <f t="shared" si="2"/>
      </c>
      <c r="T26" s="133">
        <f aca="true" t="shared" si="5" ref="T26:T31">SUM(Q26:S26)</f>
        <v>1</v>
      </c>
      <c r="U26" s="119"/>
      <c r="V26" s="119"/>
      <c r="W26" s="119"/>
    </row>
    <row r="27" spans="1:23" s="135" customFormat="1" ht="12.75">
      <c r="A27" s="136">
        <v>12</v>
      </c>
      <c r="B27" s="137">
        <v>42931.94930555556</v>
      </c>
      <c r="C27" s="137">
        <v>42933.16875</v>
      </c>
      <c r="D27" s="138">
        <f>(C27-B27)*24</f>
        <v>29.26666666654637</v>
      </c>
      <c r="E27" s="137" t="s">
        <v>83</v>
      </c>
      <c r="F27" s="139">
        <v>106688</v>
      </c>
      <c r="G27" s="140"/>
      <c r="H27" s="137">
        <v>42933.16875</v>
      </c>
      <c r="I27" s="137">
        <v>42933.19652777778</v>
      </c>
      <c r="J27" s="138">
        <f>(I27-H27)*24</f>
        <v>0.6666666667442769</v>
      </c>
      <c r="K27" s="138">
        <f>(I27-H27)*24</f>
        <v>0.6666666667442769</v>
      </c>
      <c r="L27" s="141" t="s">
        <v>68</v>
      </c>
      <c r="M27" s="142" t="s">
        <v>68</v>
      </c>
      <c r="N27" s="142" t="s">
        <v>68</v>
      </c>
      <c r="O27" s="143" t="s">
        <v>17</v>
      </c>
      <c r="P27" s="137"/>
      <c r="Q27" s="132">
        <f t="shared" si="0"/>
        <v>1</v>
      </c>
      <c r="R27" s="132">
        <f t="shared" si="1"/>
      </c>
      <c r="S27" s="132">
        <f t="shared" si="2"/>
      </c>
      <c r="T27" s="133">
        <f t="shared" si="5"/>
        <v>1</v>
      </c>
      <c r="U27" s="134"/>
      <c r="V27" s="134"/>
      <c r="W27" s="134"/>
    </row>
    <row r="28" spans="1:23" s="120" customFormat="1" ht="15.75" customHeight="1">
      <c r="A28" s="124">
        <v>13</v>
      </c>
      <c r="B28" s="125">
        <v>42933.19652777778</v>
      </c>
      <c r="C28" s="125">
        <v>42933.333333333336</v>
      </c>
      <c r="D28" s="156">
        <f>(C28-B28)*24</f>
        <v>3.28333333338378</v>
      </c>
      <c r="E28" s="125" t="s">
        <v>67</v>
      </c>
      <c r="F28" s="127"/>
      <c r="G28" s="128"/>
      <c r="H28" s="125"/>
      <c r="I28" s="125"/>
      <c r="J28" s="156">
        <f>(I28-H28)*24</f>
        <v>0</v>
      </c>
      <c r="K28" s="156">
        <f>(I28-H28)*24</f>
        <v>0</v>
      </c>
      <c r="L28" s="129"/>
      <c r="M28" s="130"/>
      <c r="N28" s="130"/>
      <c r="O28" s="131" t="s">
        <v>21</v>
      </c>
      <c r="P28" s="125"/>
      <c r="Q28" s="132">
        <f t="shared" si="0"/>
      </c>
      <c r="R28" s="132">
        <f t="shared" si="1"/>
        <v>1</v>
      </c>
      <c r="S28" s="132">
        <f t="shared" si="2"/>
      </c>
      <c r="T28" s="133">
        <f t="shared" si="5"/>
        <v>1</v>
      </c>
      <c r="U28" s="119"/>
      <c r="V28" s="119"/>
      <c r="W28" s="119"/>
    </row>
    <row r="29" spans="1:23" s="155" customFormat="1" ht="12.75">
      <c r="A29" s="144"/>
      <c r="B29" s="145"/>
      <c r="C29" s="145"/>
      <c r="D29" s="146">
        <f>SUM(D26:D28)</f>
        <v>142.69999999995343</v>
      </c>
      <c r="E29" s="147"/>
      <c r="F29" s="148"/>
      <c r="G29" s="149"/>
      <c r="H29" s="150"/>
      <c r="I29" s="150"/>
      <c r="J29" s="151">
        <f>SUM(J26:J28)</f>
        <v>1.3000000000465661</v>
      </c>
      <c r="K29" s="151">
        <f>SUM(K26:K28)</f>
        <v>1.3000000000465661</v>
      </c>
      <c r="L29" s="152"/>
      <c r="M29" s="153"/>
      <c r="N29" s="153"/>
      <c r="O29" s="154"/>
      <c r="P29" s="147"/>
      <c r="Q29" s="132">
        <f t="shared" si="0"/>
      </c>
      <c r="R29" s="132">
        <f t="shared" si="1"/>
      </c>
      <c r="S29" s="132">
        <f t="shared" si="2"/>
      </c>
      <c r="T29" s="133">
        <f t="shared" si="5"/>
        <v>0</v>
      </c>
      <c r="U29" s="30"/>
      <c r="V29" s="30"/>
      <c r="W29" s="30"/>
    </row>
    <row r="30" spans="1:23" s="120" customFormat="1" ht="15.75" customHeight="1">
      <c r="A30" s="124">
        <v>14</v>
      </c>
      <c r="B30" s="125">
        <v>42934.333333333336</v>
      </c>
      <c r="C30" s="125">
        <v>42940.03333333333</v>
      </c>
      <c r="D30" s="156">
        <f>(C30-B30)*24</f>
        <v>136.79999999993015</v>
      </c>
      <c r="E30" s="125" t="s">
        <v>84</v>
      </c>
      <c r="F30" s="127">
        <v>106690</v>
      </c>
      <c r="G30" s="128"/>
      <c r="H30" s="125">
        <v>42940.03333333333</v>
      </c>
      <c r="I30" s="125">
        <v>42940.05902777778</v>
      </c>
      <c r="J30" s="156">
        <f>(I30-H30)*24</f>
        <v>0.6166666667559184</v>
      </c>
      <c r="K30" s="156">
        <f>(I30-H30)*24</f>
        <v>0.6166666667559184</v>
      </c>
      <c r="L30" s="129" t="s">
        <v>24</v>
      </c>
      <c r="M30" s="130" t="s">
        <v>24</v>
      </c>
      <c r="N30" s="130" t="s">
        <v>24</v>
      </c>
      <c r="O30" s="131" t="s">
        <v>17</v>
      </c>
      <c r="P30" s="125"/>
      <c r="Q30" s="132">
        <f t="shared" si="0"/>
        <v>1</v>
      </c>
      <c r="R30" s="132">
        <f t="shared" si="1"/>
      </c>
      <c r="S30" s="132">
        <f t="shared" si="2"/>
      </c>
      <c r="T30" s="133">
        <f t="shared" si="5"/>
        <v>1</v>
      </c>
      <c r="U30" s="119"/>
      <c r="V30" s="119"/>
      <c r="W30" s="119"/>
    </row>
    <row r="31" spans="1:23" s="120" customFormat="1" ht="15.75" customHeight="1">
      <c r="A31" s="136">
        <v>15</v>
      </c>
      <c r="B31" s="137">
        <v>42940.05902777778</v>
      </c>
      <c r="C31" s="137">
        <v>42940.333333333336</v>
      </c>
      <c r="D31" s="138">
        <f>(C31-B31)*24</f>
        <v>6.583333333313931</v>
      </c>
      <c r="E31" s="137" t="s">
        <v>67</v>
      </c>
      <c r="F31" s="139"/>
      <c r="G31" s="140"/>
      <c r="H31" s="137"/>
      <c r="I31" s="137"/>
      <c r="J31" s="138">
        <f>(I31-H31)*24</f>
        <v>0</v>
      </c>
      <c r="K31" s="138">
        <f>(I31-H31)*24</f>
        <v>0</v>
      </c>
      <c r="L31" s="141"/>
      <c r="M31" s="142"/>
      <c r="N31" s="142"/>
      <c r="O31" s="143" t="s">
        <v>21</v>
      </c>
      <c r="P31" s="137"/>
      <c r="Q31" s="132">
        <f t="shared" si="0"/>
      </c>
      <c r="R31" s="132">
        <f t="shared" si="1"/>
        <v>1</v>
      </c>
      <c r="S31" s="132">
        <f t="shared" si="2"/>
      </c>
      <c r="T31" s="133">
        <f t="shared" si="5"/>
        <v>1</v>
      </c>
      <c r="U31" s="119"/>
      <c r="V31" s="119"/>
      <c r="W31" s="119"/>
    </row>
    <row r="32" spans="1:23" s="155" customFormat="1" ht="12.75">
      <c r="A32" s="144"/>
      <c r="B32" s="145"/>
      <c r="C32" s="145"/>
      <c r="D32" s="146">
        <f>SUM(D30:D31)</f>
        <v>143.38333333324408</v>
      </c>
      <c r="E32" s="147"/>
      <c r="F32" s="148"/>
      <c r="G32" s="149"/>
      <c r="H32" s="150"/>
      <c r="I32" s="150"/>
      <c r="J32" s="151">
        <f>SUM(J30:J31)</f>
        <v>0.6166666667559184</v>
      </c>
      <c r="K32" s="151">
        <f>SUM(K30:K31)</f>
        <v>0.6166666667559184</v>
      </c>
      <c r="L32" s="152"/>
      <c r="M32" s="153"/>
      <c r="N32" s="153"/>
      <c r="O32" s="154"/>
      <c r="P32" s="147"/>
      <c r="Q32" s="132">
        <f t="shared" si="0"/>
      </c>
      <c r="R32" s="132">
        <f t="shared" si="1"/>
      </c>
      <c r="S32" s="132">
        <f t="shared" si="2"/>
      </c>
      <c r="T32" s="133">
        <f aca="true" t="shared" si="6" ref="T32:T37">SUM(Q32:S32)</f>
        <v>0</v>
      </c>
      <c r="U32" s="30"/>
      <c r="V32" s="30"/>
      <c r="W32" s="30"/>
    </row>
    <row r="33" spans="1:23" s="135" customFormat="1" ht="12.75">
      <c r="A33" s="124">
        <v>16</v>
      </c>
      <c r="B33" s="125">
        <v>42941.333333333336</v>
      </c>
      <c r="C33" s="125">
        <v>42941.381944444445</v>
      </c>
      <c r="D33" s="126">
        <f>(C33-B33)*24</f>
        <v>1.1666666666278616</v>
      </c>
      <c r="E33" s="125" t="s">
        <v>85</v>
      </c>
      <c r="F33" s="127">
        <v>106692</v>
      </c>
      <c r="G33" s="128"/>
      <c r="H33" s="125">
        <v>42941.381944444445</v>
      </c>
      <c r="I33" s="125">
        <v>42941.404861111114</v>
      </c>
      <c r="J33" s="126">
        <f>(I33-H33)*24</f>
        <v>0.5500000000465661</v>
      </c>
      <c r="K33" s="126">
        <f>(I33-H33)*24</f>
        <v>0.5500000000465661</v>
      </c>
      <c r="L33" s="129" t="s">
        <v>22</v>
      </c>
      <c r="M33" s="130" t="s">
        <v>22</v>
      </c>
      <c r="N33" s="130" t="s">
        <v>22</v>
      </c>
      <c r="O33" s="131" t="s">
        <v>17</v>
      </c>
      <c r="P33" s="125"/>
      <c r="Q33" s="132">
        <f t="shared" si="0"/>
        <v>1</v>
      </c>
      <c r="R33" s="132">
        <f t="shared" si="1"/>
      </c>
      <c r="S33" s="132">
        <f t="shared" si="2"/>
      </c>
      <c r="T33" s="133">
        <f t="shared" si="6"/>
        <v>1</v>
      </c>
      <c r="U33" s="134"/>
      <c r="V33" s="134"/>
      <c r="W33" s="134"/>
    </row>
    <row r="34" spans="1:23" s="135" customFormat="1" ht="12.75">
      <c r="A34" s="136">
        <v>17</v>
      </c>
      <c r="B34" s="137">
        <v>42941.404861111114</v>
      </c>
      <c r="C34" s="137">
        <v>42941.66805555556</v>
      </c>
      <c r="D34" s="138">
        <f>(C34-B34)*24</f>
        <v>6.316666666651145</v>
      </c>
      <c r="E34" s="137" t="s">
        <v>86</v>
      </c>
      <c r="F34" s="139">
        <v>106693</v>
      </c>
      <c r="G34" s="140"/>
      <c r="H34" s="137">
        <v>42941.66805555556</v>
      </c>
      <c r="I34" s="137">
        <v>42944.754166666666</v>
      </c>
      <c r="J34" s="138">
        <f>(I34-H34)*24</f>
        <v>74.06666666659294</v>
      </c>
      <c r="K34" s="138">
        <f>(I34-H34)*24</f>
        <v>74.06666666659294</v>
      </c>
      <c r="L34" s="141" t="s">
        <v>74</v>
      </c>
      <c r="M34" s="142" t="s">
        <v>74</v>
      </c>
      <c r="N34" s="142" t="s">
        <v>74</v>
      </c>
      <c r="O34" s="143" t="s">
        <v>88</v>
      </c>
      <c r="P34" s="137"/>
      <c r="Q34" s="132">
        <v>1</v>
      </c>
      <c r="R34" s="132">
        <f t="shared" si="1"/>
      </c>
      <c r="S34" s="132">
        <f t="shared" si="2"/>
      </c>
      <c r="T34" s="133">
        <f t="shared" si="6"/>
        <v>1</v>
      </c>
      <c r="U34" s="134"/>
      <c r="V34" s="134"/>
      <c r="W34" s="134"/>
    </row>
    <row r="35" spans="1:23" s="120" customFormat="1" ht="15.75" customHeight="1">
      <c r="A35" s="124">
        <v>18</v>
      </c>
      <c r="B35" s="125">
        <v>42944.754166666666</v>
      </c>
      <c r="C35" s="125">
        <v>42945.99513888889</v>
      </c>
      <c r="D35" s="156">
        <f>(C35-B35)*24</f>
        <v>29.783333333325572</v>
      </c>
      <c r="E35" s="172" t="s">
        <v>90</v>
      </c>
      <c r="F35" s="127">
        <v>106694</v>
      </c>
      <c r="G35" s="128"/>
      <c r="H35" s="125">
        <v>42945.99513888889</v>
      </c>
      <c r="I35" s="125">
        <v>42946.01111111111</v>
      </c>
      <c r="J35" s="156">
        <f>(I35-H35)*24</f>
        <v>0.3833333333604969</v>
      </c>
      <c r="K35" s="126">
        <f>(I35-H35)*24</f>
        <v>0.3833333333604969</v>
      </c>
      <c r="L35" s="129" t="s">
        <v>23</v>
      </c>
      <c r="M35" s="130" t="s">
        <v>23</v>
      </c>
      <c r="N35" s="130" t="s">
        <v>23</v>
      </c>
      <c r="O35" s="131" t="s">
        <v>17</v>
      </c>
      <c r="P35" s="125"/>
      <c r="Q35" s="132">
        <f>IF($O35="Store Lost",1,"")</f>
        <v>1</v>
      </c>
      <c r="R35" s="132">
        <f>IF($O35="Scheduled",1,"")</f>
      </c>
      <c r="S35" s="132">
        <f>IF($O35="Inhibits beam to user",1,"")</f>
      </c>
      <c r="T35" s="133">
        <f t="shared" si="6"/>
        <v>1</v>
      </c>
      <c r="U35" s="119"/>
      <c r="V35" s="119"/>
      <c r="W35" s="119"/>
    </row>
    <row r="36" spans="1:23" s="135" customFormat="1" ht="12.75">
      <c r="A36" s="136">
        <v>19</v>
      </c>
      <c r="B36" s="137">
        <v>42946.01111111111</v>
      </c>
      <c r="C36" s="137">
        <v>42947.333333333336</v>
      </c>
      <c r="D36" s="138">
        <f>(C36-B36)*24</f>
        <v>31.73333333339542</v>
      </c>
      <c r="E36" s="137" t="s">
        <v>87</v>
      </c>
      <c r="F36" s="139"/>
      <c r="G36" s="140"/>
      <c r="H36" s="137"/>
      <c r="I36" s="137"/>
      <c r="J36" s="138">
        <f>(I36-H36)*24</f>
        <v>0</v>
      </c>
      <c r="K36" s="138">
        <f>(I36-H36)*24</f>
        <v>0</v>
      </c>
      <c r="L36" s="141"/>
      <c r="M36" s="142"/>
      <c r="N36" s="142"/>
      <c r="O36" s="143" t="s">
        <v>21</v>
      </c>
      <c r="P36" s="137"/>
      <c r="Q36" s="132">
        <f>IF($O36="Store Lost",1,"")</f>
      </c>
      <c r="R36" s="132">
        <f>IF($O36="Scheduled",1,"")</f>
        <v>1</v>
      </c>
      <c r="S36" s="132">
        <f>IF($O36="Inhibits beam to user",1,"")</f>
      </c>
      <c r="T36" s="133">
        <f t="shared" si="6"/>
        <v>1</v>
      </c>
      <c r="U36" s="134"/>
      <c r="V36" s="134"/>
      <c r="W36" s="134"/>
    </row>
    <row r="37" spans="1:23" s="155" customFormat="1" ht="12.75">
      <c r="A37" s="144"/>
      <c r="B37" s="145"/>
      <c r="C37" s="145"/>
      <c r="D37" s="146">
        <f>SUM(D33:D36)</f>
        <v>69</v>
      </c>
      <c r="E37" s="147"/>
      <c r="F37" s="148"/>
      <c r="G37" s="149"/>
      <c r="H37" s="150"/>
      <c r="I37" s="150"/>
      <c r="J37" s="151">
        <f>SUM(J33:J36)</f>
        <v>75</v>
      </c>
      <c r="K37" s="151">
        <f>SUM(K33:K36)</f>
        <v>75</v>
      </c>
      <c r="L37" s="152"/>
      <c r="M37" s="153"/>
      <c r="N37" s="153"/>
      <c r="O37" s="154"/>
      <c r="P37" s="147"/>
      <c r="Q37" s="132">
        <f>IF($O37="Store Lost",1,"")</f>
      </c>
      <c r="R37" s="132">
        <f>IF($O37="Scheduled",1,"")</f>
      </c>
      <c r="S37" s="132">
        <f>IF($O37="Inhibits beam to user",1,"")</f>
      </c>
      <c r="T37" s="133">
        <f t="shared" si="6"/>
        <v>0</v>
      </c>
      <c r="U37" s="30"/>
      <c r="V37" s="30"/>
      <c r="W37" s="30"/>
    </row>
    <row r="38" spans="1:23" s="120" customFormat="1" ht="15.75" customHeight="1">
      <c r="A38" s="136">
        <v>20</v>
      </c>
      <c r="B38" s="173">
        <v>42948.333333333336</v>
      </c>
      <c r="C38" s="173">
        <v>42954.333333333336</v>
      </c>
      <c r="D38" s="138">
        <f>(C38-B38)*24</f>
        <v>144</v>
      </c>
      <c r="E38" s="137" t="s">
        <v>87</v>
      </c>
      <c r="F38" s="139"/>
      <c r="G38" s="140"/>
      <c r="H38" s="137"/>
      <c r="I38" s="137"/>
      <c r="J38" s="138">
        <f>(I38-H38)*24</f>
        <v>0</v>
      </c>
      <c r="K38" s="138">
        <f>(I38-H38)*24</f>
        <v>0</v>
      </c>
      <c r="L38" s="141"/>
      <c r="M38" s="142"/>
      <c r="N38" s="142"/>
      <c r="O38" s="143" t="s">
        <v>21</v>
      </c>
      <c r="P38" s="137"/>
      <c r="Q38" s="132">
        <f aca="true" t="shared" si="7" ref="Q38:Q43">IF($O38="Store Lost",1,"")</f>
      </c>
      <c r="R38" s="132">
        <f aca="true" t="shared" si="8" ref="R38:R43">IF($O38="Scheduled",1,"")</f>
        <v>1</v>
      </c>
      <c r="S38" s="132">
        <f aca="true" t="shared" si="9" ref="S38:S43">IF($O38="Inhibits beam to user",1,"")</f>
      </c>
      <c r="T38" s="133">
        <f aca="true" t="shared" si="10" ref="T38:T43">SUM(Q38:S38)</f>
        <v>1</v>
      </c>
      <c r="U38" s="119"/>
      <c r="V38" s="119"/>
      <c r="W38" s="119"/>
    </row>
    <row r="39" spans="1:23" s="155" customFormat="1" ht="12.75">
      <c r="A39" s="144"/>
      <c r="B39" s="145"/>
      <c r="C39" s="145"/>
      <c r="D39" s="146">
        <f>SUM(D38:D38)</f>
        <v>144</v>
      </c>
      <c r="E39" s="147"/>
      <c r="F39" s="148"/>
      <c r="G39" s="149"/>
      <c r="H39" s="150"/>
      <c r="I39" s="150"/>
      <c r="J39" s="151">
        <f>SUM(J38:J38)</f>
        <v>0</v>
      </c>
      <c r="K39" s="151">
        <f>SUM(K38:K38)</f>
        <v>0</v>
      </c>
      <c r="L39" s="152"/>
      <c r="M39" s="153"/>
      <c r="N39" s="153"/>
      <c r="O39" s="154"/>
      <c r="P39" s="147"/>
      <c r="Q39" s="132">
        <f t="shared" si="7"/>
      </c>
      <c r="R39" s="132">
        <f t="shared" si="8"/>
      </c>
      <c r="S39" s="132">
        <f t="shared" si="9"/>
      </c>
      <c r="T39" s="133">
        <f t="shared" si="10"/>
        <v>0</v>
      </c>
      <c r="U39" s="30"/>
      <c r="V39" s="30"/>
      <c r="W39" s="30"/>
    </row>
    <row r="40" spans="1:23" s="120" customFormat="1" ht="15.75" customHeight="1">
      <c r="A40" s="136">
        <v>22</v>
      </c>
      <c r="B40" s="173">
        <v>42955.333333333336</v>
      </c>
      <c r="C40" s="137">
        <v>42961.333333333336</v>
      </c>
      <c r="D40" s="138">
        <f>(C40-B40)*24</f>
        <v>144</v>
      </c>
      <c r="E40" s="137" t="s">
        <v>67</v>
      </c>
      <c r="F40" s="139"/>
      <c r="G40" s="140"/>
      <c r="H40" s="137"/>
      <c r="I40" s="137"/>
      <c r="J40" s="138">
        <f>(I40-H40)*24</f>
        <v>0</v>
      </c>
      <c r="K40" s="138">
        <f>(I40-H40)*24</f>
        <v>0</v>
      </c>
      <c r="L40" s="141"/>
      <c r="M40" s="142"/>
      <c r="N40" s="142"/>
      <c r="O40" s="143" t="s">
        <v>21</v>
      </c>
      <c r="P40" s="137"/>
      <c r="Q40" s="132">
        <f t="shared" si="7"/>
      </c>
      <c r="R40" s="132">
        <f t="shared" si="8"/>
        <v>1</v>
      </c>
      <c r="S40" s="132">
        <f t="shared" si="9"/>
      </c>
      <c r="T40" s="133">
        <f t="shared" si="10"/>
        <v>1</v>
      </c>
      <c r="U40" s="119"/>
      <c r="V40" s="119"/>
      <c r="W40" s="119"/>
    </row>
    <row r="41" spans="1:23" s="155" customFormat="1" ht="12.75">
      <c r="A41" s="144"/>
      <c r="B41" s="145"/>
      <c r="C41" s="145"/>
      <c r="D41" s="146">
        <f>SUM(D40:D40)</f>
        <v>144</v>
      </c>
      <c r="E41" s="147"/>
      <c r="F41" s="148"/>
      <c r="G41" s="149"/>
      <c r="H41" s="150"/>
      <c r="I41" s="150"/>
      <c r="J41" s="151">
        <f>SUM(J40:J40)</f>
        <v>0</v>
      </c>
      <c r="K41" s="151">
        <f>SUM(K40:K40)</f>
        <v>0</v>
      </c>
      <c r="L41" s="152"/>
      <c r="M41" s="153"/>
      <c r="N41" s="153"/>
      <c r="O41" s="154"/>
      <c r="P41" s="147"/>
      <c r="Q41" s="132">
        <f t="shared" si="7"/>
      </c>
      <c r="R41" s="132">
        <f t="shared" si="8"/>
      </c>
      <c r="S41" s="132">
        <f t="shared" si="9"/>
      </c>
      <c r="T41" s="133">
        <f t="shared" si="10"/>
        <v>0</v>
      </c>
      <c r="U41" s="30"/>
      <c r="V41" s="30"/>
      <c r="W41" s="30"/>
    </row>
    <row r="42" spans="1:23" s="120" customFormat="1" ht="15.75" customHeight="1">
      <c r="A42" s="136">
        <v>23</v>
      </c>
      <c r="B42" s="174">
        <v>42962.333333333336</v>
      </c>
      <c r="C42" s="137">
        <v>42970</v>
      </c>
      <c r="D42" s="138">
        <f>(C42-B42)*24</f>
        <v>183.9999999999418</v>
      </c>
      <c r="E42" s="137" t="s">
        <v>87</v>
      </c>
      <c r="F42" s="139"/>
      <c r="G42" s="140"/>
      <c r="H42" s="137"/>
      <c r="I42" s="137"/>
      <c r="J42" s="138">
        <f>(I42-H42)*24</f>
        <v>0</v>
      </c>
      <c r="K42" s="138">
        <f>(I42-H42)*24</f>
        <v>0</v>
      </c>
      <c r="L42" s="141"/>
      <c r="M42" s="142"/>
      <c r="N42" s="142"/>
      <c r="O42" s="143" t="s">
        <v>21</v>
      </c>
      <c r="P42" s="137"/>
      <c r="Q42" s="132">
        <f t="shared" si="7"/>
      </c>
      <c r="R42" s="132">
        <f t="shared" si="8"/>
        <v>1</v>
      </c>
      <c r="S42" s="132">
        <f t="shared" si="9"/>
      </c>
      <c r="T42" s="133">
        <f t="shared" si="10"/>
        <v>1</v>
      </c>
      <c r="U42" s="119"/>
      <c r="V42" s="119"/>
      <c r="W42" s="119"/>
    </row>
    <row r="43" spans="1:23" s="155" customFormat="1" ht="12.75">
      <c r="A43" s="144"/>
      <c r="B43" s="145"/>
      <c r="C43" s="145"/>
      <c r="D43" s="146">
        <f>SUM(D42:D42)</f>
        <v>183.9999999999418</v>
      </c>
      <c r="E43" s="147"/>
      <c r="F43" s="148"/>
      <c r="G43" s="149"/>
      <c r="H43" s="150"/>
      <c r="I43" s="150"/>
      <c r="J43" s="151">
        <f>SUM(J42:J42)</f>
        <v>0</v>
      </c>
      <c r="K43" s="151">
        <f>SUM(K42:K42)</f>
        <v>0</v>
      </c>
      <c r="L43" s="152"/>
      <c r="M43" s="153"/>
      <c r="N43" s="153"/>
      <c r="O43" s="154"/>
      <c r="P43" s="147"/>
      <c r="Q43" s="132">
        <f t="shared" si="7"/>
      </c>
      <c r="R43" s="132">
        <f t="shared" si="8"/>
      </c>
      <c r="S43" s="132">
        <f t="shared" si="9"/>
      </c>
      <c r="T43" s="133">
        <f t="shared" si="10"/>
        <v>0</v>
      </c>
      <c r="U43" s="30"/>
      <c r="V43" s="30"/>
      <c r="W43" s="30"/>
    </row>
    <row r="44" spans="1:23" s="120" customFormat="1" ht="12.75">
      <c r="A44" s="108"/>
      <c r="B44" s="109"/>
      <c r="C44" s="109"/>
      <c r="D44" s="110"/>
      <c r="E44" s="111"/>
      <c r="F44" s="112"/>
      <c r="G44" s="113"/>
      <c r="H44" s="109"/>
      <c r="I44" s="109"/>
      <c r="J44" s="114"/>
      <c r="K44" s="114"/>
      <c r="L44" s="115"/>
      <c r="M44" s="116"/>
      <c r="N44" s="116"/>
      <c r="O44" s="117"/>
      <c r="P44" s="111"/>
      <c r="Q44" s="118"/>
      <c r="R44" s="118"/>
      <c r="S44" s="118"/>
      <c r="T44" s="118"/>
      <c r="U44" s="119"/>
      <c r="V44" s="119"/>
      <c r="W44" s="119"/>
    </row>
    <row r="45" spans="1:18" ht="12.75">
      <c r="A45" s="28"/>
      <c r="B45" s="14"/>
      <c r="C45" s="34" t="s">
        <v>25</v>
      </c>
      <c r="D45" s="35">
        <f>Q47</f>
        <v>10</v>
      </c>
      <c r="E45" s="16"/>
      <c r="F45" s="29"/>
      <c r="G45" s="18"/>
      <c r="H45" s="19"/>
      <c r="I45" s="19"/>
      <c r="J45" s="36" t="s">
        <v>26</v>
      </c>
      <c r="K45" s="37"/>
      <c r="L45" s="21"/>
      <c r="M45" s="22"/>
      <c r="N45" s="22"/>
      <c r="O45" s="38"/>
      <c r="P45" s="23"/>
      <c r="R45" s="12">
        <f>IF($L45="Scheduled",1,"")</f>
      </c>
    </row>
    <row r="46" spans="1:18" ht="12.75">
      <c r="A46" s="28"/>
      <c r="B46" s="14"/>
      <c r="C46" s="34" t="s">
        <v>27</v>
      </c>
      <c r="D46" s="35">
        <f>D47-D45</f>
        <v>12</v>
      </c>
      <c r="E46" s="16"/>
      <c r="F46" s="29"/>
      <c r="G46" s="18"/>
      <c r="H46" s="19"/>
      <c r="I46" s="19"/>
      <c r="J46" s="15" t="s">
        <v>28</v>
      </c>
      <c r="K46" s="39" t="s">
        <v>13</v>
      </c>
      <c r="L46" s="21"/>
      <c r="M46" s="22"/>
      <c r="N46" s="22"/>
      <c r="O46" s="38"/>
      <c r="P46" s="23"/>
      <c r="R46" s="12">
        <f>IF($L46="Scheduled",1,"")</f>
      </c>
    </row>
    <row r="47" spans="1:29" ht="13.5" thickBot="1">
      <c r="A47" s="28"/>
      <c r="B47" s="14"/>
      <c r="C47" s="34" t="s">
        <v>29</v>
      </c>
      <c r="D47" s="40">
        <f>COUNT(A5:A44)</f>
        <v>22</v>
      </c>
      <c r="E47" s="16"/>
      <c r="F47" s="29"/>
      <c r="G47" s="18"/>
      <c r="H47" s="19"/>
      <c r="I47" s="19"/>
      <c r="J47" s="41">
        <f>SUM(J5:J44)/2</f>
        <v>109.08333333372138</v>
      </c>
      <c r="K47" s="41">
        <f>SUM(K5:K44)/2</f>
        <v>109.08333333372138</v>
      </c>
      <c r="L47" s="21"/>
      <c r="M47" s="22"/>
      <c r="N47" s="22"/>
      <c r="O47" s="38"/>
      <c r="P47" s="23"/>
      <c r="Q47" s="40">
        <f>SUM(Q1:Q44)</f>
        <v>10</v>
      </c>
      <c r="R47" s="40">
        <f>SUM(R1:R44)</f>
        <v>12</v>
      </c>
      <c r="S47" s="40">
        <f>SUM(S1:S44)</f>
        <v>4</v>
      </c>
      <c r="T47" s="40">
        <f>SUM(T1:T44)</f>
        <v>26</v>
      </c>
      <c r="AA47" s="30"/>
      <c r="AB47" s="30"/>
      <c r="AC47" s="30"/>
    </row>
    <row r="48" spans="1:19" ht="13.5" thickTop="1">
      <c r="A48" s="28"/>
      <c r="B48" s="14"/>
      <c r="C48" s="34"/>
      <c r="D48" s="15"/>
      <c r="E48" s="16"/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R48" s="42" t="s">
        <v>21</v>
      </c>
      <c r="S48" s="12" t="s">
        <v>30</v>
      </c>
    </row>
    <row r="49" spans="1:26" ht="12.75">
      <c r="A49" s="28"/>
      <c r="B49" s="14"/>
      <c r="C49" s="34" t="s">
        <v>31</v>
      </c>
      <c r="D49" s="15">
        <f>SUM(D5:D44)/2</f>
        <v>1610.9166666662204</v>
      </c>
      <c r="E49" s="43">
        <f>D49/24</f>
        <v>67.12152777775918</v>
      </c>
      <c r="F49" s="44" t="s">
        <v>32</v>
      </c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>
        <f>IF($O51="Store Lost",1,"")</f>
      </c>
      <c r="T49" s="45"/>
      <c r="U49" s="30"/>
      <c r="V49" s="30"/>
      <c r="W49" s="30"/>
      <c r="X49" s="30"/>
      <c r="Y49" s="30"/>
      <c r="Z49" s="30"/>
    </row>
    <row r="50" spans="1:17" ht="12.75">
      <c r="A50" s="28"/>
      <c r="B50" s="14"/>
      <c r="C50" s="34" t="s">
        <v>33</v>
      </c>
      <c r="D50" s="15">
        <f>J47</f>
        <v>109.08333333372138</v>
      </c>
      <c r="E50" s="16" t="s">
        <v>34</v>
      </c>
      <c r="F50" s="29"/>
      <c r="G50" s="18"/>
      <c r="H50" s="19"/>
      <c r="I50" s="19"/>
      <c r="J50" s="15"/>
      <c r="K50" s="20"/>
      <c r="L50" s="21"/>
      <c r="M50" s="22"/>
      <c r="N50" s="22"/>
      <c r="O50" s="21"/>
      <c r="P50" s="23"/>
      <c r="Q50" s="12">
        <f>IF($O52="Store Lost",1,"")</f>
      </c>
    </row>
    <row r="51" spans="1:17" ht="12.75">
      <c r="A51" s="28"/>
      <c r="B51" s="14"/>
      <c r="C51" s="34" t="s">
        <v>35</v>
      </c>
      <c r="D51" s="40">
        <f>SUM(D49:D50)</f>
        <v>1719.9999999999418</v>
      </c>
      <c r="E51" s="43"/>
      <c r="F51" s="29"/>
      <c r="G51" s="18"/>
      <c r="H51" s="19"/>
      <c r="I51" s="19"/>
      <c r="J51" s="15"/>
      <c r="K51" s="20"/>
      <c r="L51" s="21"/>
      <c r="M51" s="22"/>
      <c r="N51" s="22"/>
      <c r="O51" s="21"/>
      <c r="P51" s="23"/>
      <c r="Q51" s="12" t="e">
        <f>IF(#REF!="Store Lost",1,"")</f>
        <v>#REF!</v>
      </c>
    </row>
    <row r="52" spans="1:18" ht="12.75">
      <c r="A52" s="28"/>
      <c r="B52" s="14"/>
      <c r="C52" s="34"/>
      <c r="D52" s="46"/>
      <c r="E52" s="47"/>
      <c r="F52" s="29"/>
      <c r="G52" s="18"/>
      <c r="H52" s="15"/>
      <c r="I52" s="19"/>
      <c r="J52" s="15"/>
      <c r="K52" s="20"/>
      <c r="L52" s="21"/>
      <c r="M52" s="22"/>
      <c r="N52" s="22"/>
      <c r="O52" s="21"/>
      <c r="P52" s="23"/>
      <c r="Q52" s="48">
        <f>Q47+R47</f>
        <v>22</v>
      </c>
      <c r="R52" s="12">
        <f>IF($P53="Store Lost",1,"")</f>
      </c>
    </row>
    <row r="53" spans="1:18" ht="12.75">
      <c r="A53" s="28"/>
      <c r="B53" s="14"/>
      <c r="C53" s="34" t="s">
        <v>36</v>
      </c>
      <c r="D53" s="49">
        <f>IF(D45,D49/D45,D49)</f>
        <v>161.09166666662205</v>
      </c>
      <c r="E53" s="16"/>
      <c r="F53" s="29"/>
      <c r="G53" s="18"/>
      <c r="J53" s="7"/>
      <c r="K53" s="50"/>
      <c r="Q53" s="23"/>
      <c r="R53" s="12">
        <f>IF($P55="Store Lost",1,"")</f>
      </c>
    </row>
    <row r="54" spans="1:18" ht="12.75">
      <c r="A54" s="28"/>
      <c r="B54" s="14"/>
      <c r="C54" s="34" t="s">
        <v>37</v>
      </c>
      <c r="D54" s="46">
        <f>IF(D45,24/D53,0)</f>
        <v>0.1489834980084216</v>
      </c>
      <c r="E54" s="51"/>
      <c r="F54" s="52"/>
      <c r="G54" s="53"/>
      <c r="K54" s="50"/>
      <c r="Q54" s="23"/>
      <c r="R54" s="12" t="e">
        <f>NA()</f>
        <v>#N/A</v>
      </c>
    </row>
    <row r="55" spans="1:18" ht="12.75">
      <c r="A55" s="28"/>
      <c r="B55" s="14"/>
      <c r="C55" s="34" t="s">
        <v>38</v>
      </c>
      <c r="D55" s="121">
        <f>D49/D51</f>
        <v>0.9365794573641133</v>
      </c>
      <c r="E55" s="54"/>
      <c r="F55" s="29"/>
      <c r="G55" s="18"/>
      <c r="K55" s="50"/>
      <c r="Q55" s="23"/>
      <c r="R55" s="12" t="e">
        <f>NA()</f>
        <v>#N/A</v>
      </c>
    </row>
    <row r="56" spans="1:29" s="55" customFormat="1" ht="12.75">
      <c r="A56" s="28"/>
      <c r="B56" s="14"/>
      <c r="C56" s="14"/>
      <c r="D56" s="15"/>
      <c r="E56" s="16"/>
      <c r="F56" s="29"/>
      <c r="G56" s="18"/>
      <c r="H56" s="7"/>
      <c r="I56" s="7"/>
      <c r="J56" s="3"/>
      <c r="K56" s="50"/>
      <c r="L56" s="9"/>
      <c r="M56" s="10"/>
      <c r="N56" s="10"/>
      <c r="O56" s="9"/>
      <c r="P56" s="11"/>
      <c r="Q56" s="23"/>
      <c r="R56" s="12">
        <f aca="true" t="shared" si="11" ref="R56:R64">IF($P58="Store Lost",1,"")</f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18" ht="12.75">
      <c r="A57" s="28"/>
      <c r="B57" s="14"/>
      <c r="C57" s="14"/>
      <c r="D57" s="15"/>
      <c r="E57" s="16"/>
      <c r="F57" s="29"/>
      <c r="G57" s="18"/>
      <c r="K57" s="50"/>
      <c r="Q57" s="23"/>
      <c r="R57" s="12">
        <f t="shared" si="11"/>
      </c>
    </row>
    <row r="58" spans="1:18" ht="12.75">
      <c r="A58" s="28"/>
      <c r="B58" s="14"/>
      <c r="C58" s="14"/>
      <c r="D58" s="15"/>
      <c r="E58" s="16"/>
      <c r="F58" s="29"/>
      <c r="G58" s="18"/>
      <c r="K58" s="50"/>
      <c r="Q58" s="23"/>
      <c r="R58" s="12">
        <f t="shared" si="11"/>
      </c>
    </row>
    <row r="59" spans="1:18" ht="12.75">
      <c r="A59" s="28"/>
      <c r="B59" s="14"/>
      <c r="C59" s="14"/>
      <c r="D59" s="15"/>
      <c r="E59" s="16"/>
      <c r="F59" s="29"/>
      <c r="G59" s="18"/>
      <c r="K59" s="50"/>
      <c r="Q59" s="23"/>
      <c r="R59" s="12">
        <f t="shared" si="11"/>
      </c>
    </row>
    <row r="60" spans="1:18" ht="12.75">
      <c r="A60" s="28"/>
      <c r="B60" s="14"/>
      <c r="C60" s="14"/>
      <c r="D60" s="15"/>
      <c r="E60" s="16"/>
      <c r="F60" s="29"/>
      <c r="G60" s="18"/>
      <c r="K60" s="50"/>
      <c r="Q60" s="23"/>
      <c r="R60" s="12">
        <f t="shared" si="11"/>
      </c>
    </row>
    <row r="61" spans="1:18" ht="12.75">
      <c r="A61" s="28"/>
      <c r="B61" s="14"/>
      <c r="C61" s="14"/>
      <c r="D61" s="15"/>
      <c r="E61" s="16"/>
      <c r="F61" s="29"/>
      <c r="G61" s="18"/>
      <c r="K61" s="50"/>
      <c r="Q61" s="23"/>
      <c r="R61" s="12">
        <f t="shared" si="11"/>
      </c>
    </row>
    <row r="62" spans="1:18" ht="12.75">
      <c r="A62" s="28"/>
      <c r="B62" s="14"/>
      <c r="C62" s="14"/>
      <c r="D62" s="15"/>
      <c r="E62" s="16"/>
      <c r="F62" s="29"/>
      <c r="G62" s="18"/>
      <c r="K62" s="50"/>
      <c r="Q62" s="23"/>
      <c r="R62" s="12">
        <f t="shared" si="11"/>
      </c>
    </row>
    <row r="63" spans="1:18" ht="12.75">
      <c r="A63" s="28"/>
      <c r="B63" s="14"/>
      <c r="C63" s="14"/>
      <c r="D63" s="15"/>
      <c r="E63" s="16"/>
      <c r="F63" s="29"/>
      <c r="G63" s="18"/>
      <c r="K63" s="50"/>
      <c r="Q63" s="23"/>
      <c r="R63" s="12">
        <f t="shared" si="11"/>
      </c>
    </row>
    <row r="64" spans="1:18" ht="12.75">
      <c r="A64" s="28"/>
      <c r="B64" s="14"/>
      <c r="C64" s="14"/>
      <c r="D64" s="15"/>
      <c r="E64" s="16"/>
      <c r="F64" s="29"/>
      <c r="G64" s="18"/>
      <c r="K64" s="50"/>
      <c r="Q64" s="23"/>
      <c r="R64" s="12">
        <f t="shared" si="11"/>
      </c>
    </row>
    <row r="65" spans="1:29" s="56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0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30" customFormat="1" ht="12.75">
      <c r="A66" s="28"/>
      <c r="B66" s="14"/>
      <c r="C66" s="14"/>
      <c r="D66" s="15"/>
      <c r="E66" s="16"/>
      <c r="F66" s="29"/>
      <c r="G66" s="18"/>
      <c r="H66" s="7"/>
      <c r="I66" s="7"/>
      <c r="J66" s="3"/>
      <c r="K66" s="50"/>
      <c r="L66" s="9"/>
      <c r="M66" s="10"/>
      <c r="N66" s="10"/>
      <c r="O66" s="9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55"/>
      <c r="AB66" s="55"/>
      <c r="AC66" s="55"/>
    </row>
    <row r="67" spans="1:16" ht="12.75">
      <c r="A67" s="28"/>
      <c r="B67" s="14"/>
      <c r="C67" s="14"/>
      <c r="D67" s="15"/>
      <c r="E67" s="16"/>
      <c r="F67" s="29"/>
      <c r="G67" s="18"/>
      <c r="H67" s="19"/>
      <c r="I67" s="19"/>
      <c r="J67" s="15"/>
      <c r="K67" s="20"/>
      <c r="L67" s="21"/>
      <c r="M67" s="22"/>
      <c r="N67" s="22"/>
      <c r="O67" s="21"/>
      <c r="P67" s="23"/>
    </row>
    <row r="68" spans="1:2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  <c r="U68" s="55"/>
      <c r="V68" s="55"/>
      <c r="W68" s="55"/>
      <c r="X68" s="55"/>
      <c r="Y68" s="55"/>
      <c r="Z68" s="55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E70" s="16"/>
      <c r="F70" s="29"/>
      <c r="G70" s="18"/>
      <c r="H70" s="19"/>
      <c r="I70" s="19"/>
      <c r="L70" s="21"/>
      <c r="M70" s="22"/>
      <c r="N70" s="22"/>
      <c r="O70" s="21"/>
      <c r="P70" s="23"/>
    </row>
    <row r="71" spans="1:16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</row>
    <row r="72" spans="1:20" ht="12.75">
      <c r="A72" s="28"/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  <c r="R72" s="55"/>
      <c r="S72" s="55"/>
      <c r="T72" s="55"/>
    </row>
    <row r="73" spans="2:16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</row>
    <row r="74" spans="2:17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aca="true" t="shared" si="12" ref="Q74:Q105">IF($O76="Store Lost",1,"")</f>
      </c>
    </row>
    <row r="75" spans="2:29" ht="12.75">
      <c r="B75" s="14"/>
      <c r="C75" s="14"/>
      <c r="F75" s="29"/>
      <c r="G75" s="18"/>
      <c r="H75" s="19"/>
      <c r="I75" s="19"/>
      <c r="L75" s="21"/>
      <c r="M75" s="22"/>
      <c r="N75" s="22"/>
      <c r="O75" s="21"/>
      <c r="P75" s="23"/>
      <c r="Q75" s="12">
        <f t="shared" si="12"/>
      </c>
      <c r="AA75" s="56"/>
      <c r="AB75" s="56"/>
      <c r="AC75" s="56"/>
    </row>
    <row r="76" spans="2:29" ht="12.75">
      <c r="B76" s="14"/>
      <c r="C76" s="14"/>
      <c r="Q76" s="12">
        <f t="shared" si="12"/>
      </c>
      <c r="AA76" s="30"/>
      <c r="AB76" s="30"/>
      <c r="AC76" s="30"/>
    </row>
    <row r="77" spans="17:26" ht="12.75">
      <c r="Q77" s="12">
        <f t="shared" si="12"/>
      </c>
      <c r="U77" s="56"/>
      <c r="V77" s="56"/>
      <c r="W77" s="56"/>
      <c r="X77" s="56"/>
      <c r="Y77" s="56"/>
      <c r="Z77" s="56"/>
    </row>
    <row r="78" spans="17:26" ht="12.75">
      <c r="Q78" s="12">
        <f t="shared" si="12"/>
      </c>
      <c r="U78" s="30"/>
      <c r="V78" s="30"/>
      <c r="W78" s="30"/>
      <c r="X78" s="30"/>
      <c r="Y78" s="30"/>
      <c r="Z78" s="30"/>
    </row>
    <row r="79" spans="1:29" s="55" customFormat="1" ht="12.75">
      <c r="A79" s="1"/>
      <c r="B79" s="2"/>
      <c r="C79" s="2"/>
      <c r="D79" s="3"/>
      <c r="E79" s="4"/>
      <c r="F79" s="5"/>
      <c r="G79" s="6"/>
      <c r="H79" s="7"/>
      <c r="I79" s="7"/>
      <c r="J79" s="3"/>
      <c r="K79" s="8"/>
      <c r="L79" s="9"/>
      <c r="M79" s="10"/>
      <c r="N79" s="10"/>
      <c r="O79" s="9"/>
      <c r="P79" s="11"/>
      <c r="Q79" s="12">
        <f t="shared" si="12"/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ht="12.75">
      <c r="Q80" s="12">
        <f t="shared" si="12"/>
      </c>
    </row>
    <row r="81" spans="17:20" ht="12.75">
      <c r="Q81" s="12">
        <f t="shared" si="12"/>
      </c>
      <c r="R81" s="56"/>
      <c r="S81" s="56"/>
      <c r="T81" s="56"/>
    </row>
    <row r="82" spans="17:20" ht="12.75">
      <c r="Q82" s="12">
        <f t="shared" si="12"/>
      </c>
      <c r="R82" s="30"/>
      <c r="S82" s="30"/>
      <c r="T82" s="30"/>
    </row>
    <row r="83" ht="12.75">
      <c r="Q83" s="12">
        <f t="shared" si="12"/>
      </c>
    </row>
    <row r="84" ht="12.75">
      <c r="Q84" s="12">
        <f t="shared" si="12"/>
      </c>
    </row>
    <row r="85" ht="12.75">
      <c r="Q85" s="12">
        <f t="shared" si="12"/>
      </c>
    </row>
    <row r="86" ht="12.75">
      <c r="Q86" s="12">
        <f t="shared" si="12"/>
      </c>
    </row>
    <row r="87" ht="12.75">
      <c r="Q87" s="12">
        <f t="shared" si="12"/>
      </c>
    </row>
    <row r="88" ht="12.75">
      <c r="Q88" s="12">
        <f t="shared" si="12"/>
      </c>
    </row>
    <row r="89" spans="17:29" ht="12.75">
      <c r="Q89" s="12">
        <f t="shared" si="12"/>
      </c>
      <c r="AA89" s="55"/>
      <c r="AB89" s="55"/>
      <c r="AC89" s="55"/>
    </row>
    <row r="90" ht="12.75">
      <c r="Q90" s="12">
        <f t="shared" si="12"/>
      </c>
    </row>
    <row r="91" spans="17:26" ht="12.75">
      <c r="Q91" s="12">
        <f t="shared" si="12"/>
      </c>
      <c r="U91" s="55"/>
      <c r="V91" s="55"/>
      <c r="W91" s="55"/>
      <c r="X91" s="55"/>
      <c r="Y91" s="55"/>
      <c r="Z91" s="55"/>
    </row>
    <row r="92" spans="1:29" s="55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12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30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2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55" customFormat="1" ht="12.75">
      <c r="A94" s="1"/>
      <c r="B94" s="2"/>
      <c r="C94" s="2"/>
      <c r="D94" s="3"/>
      <c r="E94" s="4"/>
      <c r="F94" s="5"/>
      <c r="G94" s="6"/>
      <c r="H94" s="7"/>
      <c r="I94" s="7"/>
      <c r="J94" s="3"/>
      <c r="K94" s="8"/>
      <c r="L94" s="9"/>
      <c r="M94" s="10"/>
      <c r="N94" s="10"/>
      <c r="O94" s="9"/>
      <c r="P94" s="11"/>
      <c r="Q94" s="12">
        <f t="shared" si="12"/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7:20" ht="12.75">
      <c r="Q95" s="12">
        <f t="shared" si="12"/>
      </c>
      <c r="R95" s="55"/>
      <c r="S95" s="55"/>
      <c r="T95" s="55"/>
    </row>
    <row r="96" ht="12.75">
      <c r="Q96" s="12">
        <f t="shared" si="12"/>
      </c>
    </row>
    <row r="97" ht="12.75">
      <c r="Q97" s="12">
        <f t="shared" si="12"/>
      </c>
    </row>
    <row r="98" ht="12.75">
      <c r="Q98" s="12">
        <f t="shared" si="12"/>
      </c>
    </row>
    <row r="99" ht="12.75">
      <c r="Q99" s="12">
        <f t="shared" si="12"/>
      </c>
    </row>
    <row r="100" ht="12.75">
      <c r="Q100" s="12">
        <f t="shared" si="12"/>
      </c>
    </row>
    <row r="101" ht="12.75">
      <c r="Q101" s="12">
        <f t="shared" si="12"/>
      </c>
    </row>
    <row r="102" spans="17:29" ht="12.75">
      <c r="Q102" s="12">
        <f t="shared" si="12"/>
      </c>
      <c r="AA102" s="55"/>
      <c r="AB102" s="55"/>
      <c r="AC102" s="55"/>
    </row>
    <row r="103" spans="17:29" ht="12.75">
      <c r="Q103" s="12">
        <f t="shared" si="12"/>
      </c>
      <c r="AA103" s="30"/>
      <c r="AB103" s="30"/>
      <c r="AC103" s="30"/>
    </row>
    <row r="104" spans="17:29" ht="12.75">
      <c r="Q104" s="12">
        <f t="shared" si="12"/>
      </c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17:26" ht="12.75">
      <c r="Q105" s="12">
        <f t="shared" si="12"/>
      </c>
      <c r="U105" s="30"/>
      <c r="V105" s="30"/>
      <c r="W105" s="30"/>
      <c r="X105" s="30"/>
      <c r="Y105" s="30"/>
      <c r="Z105" s="30"/>
    </row>
    <row r="106" spans="17:26" ht="12.75">
      <c r="Q106" s="12">
        <f aca="true" t="shared" si="13" ref="Q106:Q131">IF($O108="Store Lost",1,"")</f>
      </c>
      <c r="U106" s="55"/>
      <c r="V106" s="55"/>
      <c r="W106" s="55"/>
      <c r="X106" s="55"/>
      <c r="Y106" s="55"/>
      <c r="Z106" s="55"/>
    </row>
    <row r="107" ht="12.75">
      <c r="Q107" s="12">
        <f t="shared" si="13"/>
      </c>
    </row>
    <row r="108" spans="17:20" ht="12.75">
      <c r="Q108" s="12">
        <f t="shared" si="13"/>
      </c>
      <c r="R108" s="55"/>
      <c r="S108" s="55"/>
      <c r="T108" s="55"/>
    </row>
    <row r="109" spans="17:20" ht="12.75">
      <c r="Q109" s="12">
        <f t="shared" si="13"/>
      </c>
      <c r="R109" s="30"/>
      <c r="S109" s="30"/>
      <c r="T109" s="30"/>
    </row>
    <row r="110" spans="17:20" ht="12.75">
      <c r="Q110" s="12">
        <f t="shared" si="13"/>
      </c>
      <c r="R110" s="55"/>
      <c r="S110" s="55"/>
      <c r="T110" s="55"/>
    </row>
    <row r="111" ht="12.75">
      <c r="Q111" s="12">
        <f t="shared" si="13"/>
      </c>
    </row>
    <row r="112" ht="12.75">
      <c r="Q112" s="12">
        <f t="shared" si="13"/>
      </c>
    </row>
    <row r="113" ht="12.75">
      <c r="Q113" s="12">
        <f t="shared" si="13"/>
      </c>
    </row>
    <row r="114" ht="12.75">
      <c r="Q114" s="12">
        <f t="shared" si="13"/>
      </c>
    </row>
    <row r="115" spans="1:29" s="55" customFormat="1" ht="12.75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>
        <f t="shared" si="13"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ht="12.75">
      <c r="Q116" s="12">
        <f t="shared" si="13"/>
      </c>
    </row>
    <row r="117" ht="12.75">
      <c r="Q117" s="12">
        <f t="shared" si="13"/>
      </c>
    </row>
    <row r="118" ht="12.75">
      <c r="Q118" s="12">
        <f t="shared" si="13"/>
      </c>
    </row>
    <row r="119" ht="12.75">
      <c r="Q119" s="12">
        <f t="shared" si="13"/>
      </c>
    </row>
    <row r="120" ht="12.75">
      <c r="Q120" s="12">
        <f t="shared" si="13"/>
      </c>
    </row>
    <row r="121" ht="12.75">
      <c r="Q121" s="12">
        <f t="shared" si="13"/>
      </c>
    </row>
    <row r="122" ht="12.75">
      <c r="Q122" s="12">
        <f t="shared" si="13"/>
      </c>
    </row>
    <row r="123" ht="12.75">
      <c r="Q123" s="12">
        <f t="shared" si="13"/>
      </c>
    </row>
    <row r="124" ht="12.75">
      <c r="Q124" s="12">
        <f t="shared" si="13"/>
      </c>
    </row>
    <row r="125" spans="17:29" ht="12.75">
      <c r="Q125" s="12">
        <f t="shared" si="13"/>
      </c>
      <c r="AA125" s="55"/>
      <c r="AB125" s="55"/>
      <c r="AC125" s="55"/>
    </row>
    <row r="126" ht="12.75">
      <c r="Q126" s="12">
        <f t="shared" si="13"/>
      </c>
    </row>
    <row r="127" spans="17:26" ht="12.75">
      <c r="Q127" s="12">
        <f t="shared" si="13"/>
      </c>
      <c r="U127" s="55"/>
      <c r="V127" s="55"/>
      <c r="W127" s="55"/>
      <c r="X127" s="55"/>
      <c r="Y127" s="55"/>
      <c r="Z127" s="55"/>
    </row>
    <row r="128" ht="12.75">
      <c r="Q128" s="12">
        <f t="shared" si="13"/>
      </c>
    </row>
    <row r="129" ht="12.75">
      <c r="Q129" s="12">
        <f t="shared" si="13"/>
      </c>
    </row>
    <row r="130" ht="12.75">
      <c r="Q130" s="12">
        <f t="shared" si="13"/>
      </c>
    </row>
    <row r="131" spans="17:20" ht="12.75">
      <c r="Q131" s="12">
        <f t="shared" si="13"/>
      </c>
      <c r="R131" s="55"/>
      <c r="S131" s="55"/>
      <c r="T131" s="55"/>
    </row>
    <row r="135" ht="12.75">
      <c r="Q135" s="12">
        <f>COUNT(Q44:Q131)</f>
        <v>2</v>
      </c>
    </row>
  </sheetData>
  <sheetProtection/>
  <mergeCells count="1">
    <mergeCell ref="A2:I2"/>
  </mergeCells>
  <printOptions/>
  <pageMargins left="0" right="0" top="0" bottom="0.15" header="0.511805555555556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P1">
      <selection activeCell="K18" sqref="K18"/>
    </sheetView>
  </sheetViews>
  <sheetFormatPr defaultColWidth="9.140625" defaultRowHeight="12.75"/>
  <cols>
    <col min="1" max="1" width="21.8515625" style="0" customWidth="1"/>
    <col min="2" max="9" width="12.00390625" style="0" customWidth="1"/>
    <col min="10" max="11" width="10.57421875" style="0" customWidth="1"/>
    <col min="12" max="12" width="12.00390625" style="0" customWidth="1"/>
    <col min="13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11" ht="12.75">
      <c r="A3" s="79"/>
      <c r="B3" s="82" t="s">
        <v>14</v>
      </c>
      <c r="C3" s="81"/>
      <c r="D3" s="81"/>
      <c r="E3" s="81"/>
      <c r="F3" s="81"/>
      <c r="G3" s="81"/>
      <c r="H3" s="81"/>
      <c r="I3" s="81"/>
      <c r="J3" s="83"/>
      <c r="K3" s="175"/>
    </row>
    <row r="4" spans="1:11" ht="12.75">
      <c r="A4" s="82" t="s">
        <v>39</v>
      </c>
      <c r="B4" s="79" t="s">
        <v>22</v>
      </c>
      <c r="C4" s="84" t="s">
        <v>23</v>
      </c>
      <c r="D4" s="84" t="s">
        <v>24</v>
      </c>
      <c r="E4" s="84" t="s">
        <v>65</v>
      </c>
      <c r="F4" s="84" t="s">
        <v>70</v>
      </c>
      <c r="G4" s="84" t="s">
        <v>68</v>
      </c>
      <c r="H4" s="84" t="s">
        <v>73</v>
      </c>
      <c r="I4" s="84" t="s">
        <v>74</v>
      </c>
      <c r="J4" s="85" t="s">
        <v>59</v>
      </c>
      <c r="K4" s="175"/>
    </row>
    <row r="5" spans="1:11" ht="12.75">
      <c r="A5" s="79" t="s">
        <v>40</v>
      </c>
      <c r="B5" s="86">
        <v>0</v>
      </c>
      <c r="C5" s="87">
        <v>1</v>
      </c>
      <c r="D5" s="87">
        <v>0</v>
      </c>
      <c r="E5" s="87">
        <v>1</v>
      </c>
      <c r="F5" s="87">
        <v>0</v>
      </c>
      <c r="G5" s="87">
        <v>0</v>
      </c>
      <c r="H5" s="87">
        <v>1</v>
      </c>
      <c r="I5" s="87">
        <v>1</v>
      </c>
      <c r="J5" s="88">
        <v>4</v>
      </c>
      <c r="K5" s="176"/>
    </row>
    <row r="6" spans="1:11" ht="12.75">
      <c r="A6" s="90" t="s">
        <v>41</v>
      </c>
      <c r="B6" s="91">
        <v>2</v>
      </c>
      <c r="C6" s="70">
        <v>3</v>
      </c>
      <c r="D6" s="70">
        <v>2</v>
      </c>
      <c r="E6" s="70">
        <v>0</v>
      </c>
      <c r="F6" s="70">
        <v>1</v>
      </c>
      <c r="G6" s="70">
        <v>1</v>
      </c>
      <c r="H6" s="70">
        <v>0</v>
      </c>
      <c r="I6" s="70">
        <v>1</v>
      </c>
      <c r="J6" s="92">
        <v>10</v>
      </c>
      <c r="K6" s="176"/>
    </row>
    <row r="7" spans="1:11" ht="12.75">
      <c r="A7" s="97" t="s">
        <v>69</v>
      </c>
      <c r="B7" s="168">
        <v>2.616666666814126</v>
      </c>
      <c r="C7" s="169">
        <v>5.4833333333954215</v>
      </c>
      <c r="D7" s="167">
        <v>1.2500000000582077</v>
      </c>
      <c r="E7" s="167">
        <v>0.28333333338378</v>
      </c>
      <c r="F7" s="167">
        <v>0.5166666667792015</v>
      </c>
      <c r="G7" s="167">
        <v>0.6666666667442769</v>
      </c>
      <c r="H7" s="167">
        <v>18.5999999998603</v>
      </c>
      <c r="I7" s="167">
        <v>79.66666666668607</v>
      </c>
      <c r="J7" s="98">
        <v>109.08333333372138</v>
      </c>
      <c r="K7" s="177"/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58" t="s">
        <v>50</v>
      </c>
      <c r="K13" s="178" t="s">
        <v>91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2" t="s">
        <v>72</v>
      </c>
      <c r="B14" s="170">
        <f>IF(B16,SUM(B16/B25),"")</f>
        <v>0.0031879844961602366</v>
      </c>
      <c r="C14" s="170">
        <f>IF(C16,SUM(C16/B25),"")</f>
      </c>
      <c r="D14" s="170">
        <f>IF(D16,SUM(D16/B25),"")</f>
        <v>0.001521317829543148</v>
      </c>
      <c r="E14" s="170">
        <f>IF(E16,SUM(E16/B25),"")</f>
      </c>
      <c r="F14" s="170">
        <f>IF(F16,SUM(F16/B25),"")</f>
      </c>
      <c r="G14" s="170">
        <f>IF(G16,SUM(G16/B25),"")</f>
      </c>
      <c r="H14" s="170">
        <f>IF(H16,SUM(H16/B25),"")</f>
      </c>
      <c r="I14" s="170">
        <f>IF(I16,SUM(I16/B25),"")</f>
        <v>0.0007267441860803779</v>
      </c>
      <c r="J14" s="170">
        <f>IF(J16,SUM(J16/B25),"")</f>
        <v>0.00016472868219987764</v>
      </c>
      <c r="K14" s="170">
        <f>IF(K16,SUM(K16/B25),"")</f>
        <v>0.010813953488291238</v>
      </c>
      <c r="L14" s="170">
        <f>IF(L16,SUM(L16/D25),"")</f>
      </c>
      <c r="M14" s="170">
        <f>IF(M16,SUM(M16/E25),"")</f>
      </c>
      <c r="N14" s="170">
        <f>IF(N16,SUM(N16/B25),"")</f>
      </c>
      <c r="O14" s="170">
        <f>IF(O16,SUM(O16/B25),"")</f>
        <v>0.0003003875969646622</v>
      </c>
      <c r="P14" s="170" t="e">
        <f>IF(Q16,SUM(Q16/C25),"")</f>
        <v>#DIV/0!</v>
      </c>
      <c r="Q14" s="170">
        <f>IF(Q16,SUM(Q16/B25),"")</f>
        <v>0.04631782945737719</v>
      </c>
      <c r="R14" s="63">
        <f>IF(R16,SUM(R16/B25),"")</f>
      </c>
      <c r="S14" s="63">
        <f>IF(S16,SUM(S16/B25),"")</f>
        <v>0.00038759689926994153</v>
      </c>
      <c r="T14" s="63">
        <f>IF(T16,SUM(T16/B25),"")</f>
        <v>0.06342054263588667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'[1]reliabilitySummary'!$B$18</f>
        <v>0.0012000000000000001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69">
        <f>GETPIVOTDATA("Sum of System 
Length",$A$3,"Group","RF")</f>
        <v>5.4833333333954215</v>
      </c>
      <c r="C16" s="167"/>
      <c r="D16" s="168">
        <f>GETPIVOTDATA("Sum of System 
Length",$A$3,"Group","PS")</f>
        <v>2.616666666814126</v>
      </c>
      <c r="E16" s="168"/>
      <c r="F16" s="167"/>
      <c r="G16" s="171"/>
      <c r="H16" s="171"/>
      <c r="I16" s="168">
        <f>GETPIVOTDATA("Sum of System 
Length",$A$3,"Group","MOM")</f>
        <v>1.2500000000582077</v>
      </c>
      <c r="J16" s="167">
        <f>GETPIVOTDATA("Sum of System 
Length",$A$3,"Group","AOP")</f>
        <v>0.28333333338378</v>
      </c>
      <c r="K16" s="167">
        <f>GETPIVOTDATA("Sum of System 
Length",$A$3,"Group","VAC")</f>
        <v>18.5999999998603</v>
      </c>
      <c r="L16" s="171"/>
      <c r="N16" s="171"/>
      <c r="O16" s="167">
        <f>GETPIVOTDATA("Sum of System 
Length",$A$3,"Group","ComEd")</f>
        <v>0.5166666667792015</v>
      </c>
      <c r="P16" s="171"/>
      <c r="Q16" s="167">
        <f>GETPIVOTDATA("Sum of System 
Length",$A$3,"Group","OTH")</f>
        <v>79.66666666668607</v>
      </c>
      <c r="R16" s="171"/>
      <c r="S16" s="167">
        <f>GETPIVOTDATA("Sum of System 
Length",$A$3,"Group","UNK")</f>
        <v>0.6666666667442769</v>
      </c>
      <c r="T16" s="68">
        <f>'Main Data'!J47</f>
        <v>109.08333333372138</v>
      </c>
      <c r="U16" s="69"/>
    </row>
    <row r="17" spans="1:20" ht="12.75">
      <c r="A17" s="71" t="s">
        <v>63</v>
      </c>
      <c r="B17">
        <f>GETPIVOTDATA("Sum - Store Lost",$A$3,"Group","RF")</f>
        <v>3</v>
      </c>
      <c r="D17">
        <f>GETPIVOTDATA("Sum - Store Lost",$A$3,"Group","PS")</f>
        <v>2</v>
      </c>
      <c r="I17">
        <f>GETPIVOTDATA("Sum - Store Lost",$A$3,"Group","MOM")</f>
        <v>2</v>
      </c>
      <c r="J17">
        <f>GETPIVOTDATA("Sum - Store Lost",$A$3,"Group","AOP")</f>
        <v>0</v>
      </c>
      <c r="K17">
        <f>GETPIVOTDATA("Sum - Store Lost",$A$3,"Group","VAC")</f>
        <v>0</v>
      </c>
      <c r="O17">
        <f>GETPIVOTDATA("Sum - Store Lost",$A$3,"Group","ComEd")</f>
        <v>1</v>
      </c>
      <c r="Q17">
        <f>GETPIVOTDATA("Sum - Store Lost",$A$3,"Group","OTH")</f>
        <v>1</v>
      </c>
      <c r="S17">
        <f>GETPIVOTDATA("Sum - Store Lost",$A$3,"Group","UNK")</f>
        <v>1</v>
      </c>
      <c r="T17" s="68">
        <f>SUM(B17:S17)</f>
        <v>10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N18" s="70"/>
      <c r="P18" s="70"/>
      <c r="T18" s="68"/>
    </row>
    <row r="19" spans="1:20" ht="13.5" thickBot="1">
      <c r="A19" s="71"/>
      <c r="B19" s="171"/>
      <c r="C19" s="70"/>
      <c r="D19" s="70"/>
      <c r="E19" s="70"/>
      <c r="G19" s="70"/>
      <c r="H19" s="70"/>
      <c r="I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58" t="s">
        <v>50</v>
      </c>
      <c r="K20" s="58"/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2" t="s">
        <v>72</v>
      </c>
      <c r="B21" s="72">
        <f aca="true" t="shared" si="0" ref="B21:I21">B17/($B24/24)</f>
        <v>0.04469504940252648</v>
      </c>
      <c r="C21" s="73">
        <f t="shared" si="0"/>
        <v>0</v>
      </c>
      <c r="D21" s="73">
        <f t="shared" si="0"/>
        <v>0.02979669960168432</v>
      </c>
      <c r="E21" s="73">
        <f t="shared" si="0"/>
        <v>0</v>
      </c>
      <c r="F21" s="72">
        <f t="shared" si="0"/>
        <v>0</v>
      </c>
      <c r="G21" s="72">
        <f t="shared" si="0"/>
        <v>0</v>
      </c>
      <c r="H21" s="72">
        <f t="shared" si="0"/>
        <v>0</v>
      </c>
      <c r="I21" s="72">
        <f t="shared" si="0"/>
        <v>0.02979669960168432</v>
      </c>
      <c r="J21" s="73">
        <f>J17/($B24/24)</f>
        <v>0</v>
      </c>
      <c r="K21" s="73"/>
      <c r="L21" s="73">
        <f>L17/($B24/24)</f>
        <v>0</v>
      </c>
      <c r="M21" s="72">
        <f>M17/($B24/24)</f>
        <v>0</v>
      </c>
      <c r="N21" s="73"/>
      <c r="O21" s="72">
        <f aca="true" t="shared" si="1" ref="O21:T21">O17/($B24/24)</f>
        <v>0.01489834980084216</v>
      </c>
      <c r="P21" s="72">
        <f t="shared" si="1"/>
        <v>0</v>
      </c>
      <c r="Q21" s="73">
        <f>Q17/($B24/24)</f>
        <v>0.01489834980084216</v>
      </c>
      <c r="R21" s="72">
        <f t="shared" si="1"/>
        <v>0</v>
      </c>
      <c r="S21" s="72">
        <f t="shared" si="1"/>
        <v>0.01489834980084216</v>
      </c>
      <c r="T21" s="72">
        <f t="shared" si="1"/>
        <v>0.1489834980084216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0.02</v>
      </c>
      <c r="K22" s="75"/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0.5950000000000001</v>
      </c>
      <c r="U22" s="77"/>
    </row>
    <row r="24" spans="1:2" ht="12.75">
      <c r="A24" s="34" t="s">
        <v>31</v>
      </c>
      <c r="B24" s="65">
        <f>'Main Data'!D49</f>
        <v>1610.9166666662204</v>
      </c>
    </row>
    <row r="25" spans="1:2" ht="12.75">
      <c r="A25" s="78" t="s">
        <v>35</v>
      </c>
      <c r="B25" s="76">
        <f>'Main Data'!D51</f>
        <v>1719.9999999999418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3">
        <v>0</v>
      </c>
      <c r="E43" s="123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65" sqref="A65:IV65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2017-09-03T10:42:03Z</cp:lastPrinted>
  <dcterms:created xsi:type="dcterms:W3CDTF">1998-01-15T00:06:45Z</dcterms:created>
  <dcterms:modified xsi:type="dcterms:W3CDTF">2017-09-03T10:42:50Z</dcterms:modified>
  <cp:category/>
  <cp:version/>
  <cp:contentType/>
  <cp:contentStatus/>
  <cp:revision>5</cp:revision>
</cp:coreProperties>
</file>