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320" windowHeight="1008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Data'!$A$2:$P$46</definedName>
    <definedName name="Excel_BuiltIn_Print_Area_1_1_1">'Main Data'!$A$2:$P$67</definedName>
    <definedName name="Excel_BuiltIn_Print_Area_1_1_11">'Main Data'!$A$2:$P$68</definedName>
    <definedName name="Excel_BuiltIn_Print_Area_1_1_1_1">'Main Data'!$A$2:$P$54</definedName>
    <definedName name="Excel_BuiltIn_Print_Area_41">'Faults Per Day'!$A$1:$W$67</definedName>
    <definedName name="Faults_Day_of_Delivered_Beam">'Main Data'!$D$96</definedName>
    <definedName name="Mean_Time_Between_Faults">'Main Data'!$D$95</definedName>
    <definedName name="Number_of_Fills">'Main Data'!$D$88</definedName>
    <definedName name="Number_of_Intentional_Dumps">'Main Data'!$D$87</definedName>
    <definedName name="Number_of_Lost_Fills">'Main Data'!$D$86</definedName>
    <definedName name="_xlnm.Print_Area" localSheetId="3">'Faults Per Day'!$A$1:$AC$81</definedName>
    <definedName name="_xlnm.Print_Area" localSheetId="0">'Main Data'!$A$2:$P$54</definedName>
    <definedName name="_xlnm.Print_Titles" localSheetId="0">'Main Data'!$5:$5</definedName>
    <definedName name="Refill_Time">'Main Data'!$D$1</definedName>
    <definedName name="Total_Schedule_Run_Length">'Main Data'!$D$92</definedName>
    <definedName name="Total_System_Downtime">'Main Data'!$K$88</definedName>
    <definedName name="Total_User_Beam">'Main Data'!$D$90</definedName>
    <definedName name="Total_User_Downtime">'Main Data'!$D$91</definedName>
    <definedName name="User_Beam_Days">'Main Data'!$E$90</definedName>
    <definedName name="X_ray_Availability">'Main Data'!$D$97</definedName>
  </definedNames>
  <calcPr fullCalcOnLoad="1"/>
  <pivotCaches>
    <pivotCache cacheId="12" r:id="rId5"/>
    <pivotCache cacheId="15" r:id="rId6"/>
  </pivotCaches>
</workbook>
</file>

<file path=xl/sharedStrings.xml><?xml version="1.0" encoding="utf-8"?>
<sst xmlns="http://schemas.openxmlformats.org/spreadsheetml/2006/main" count="200" uniqueCount="87">
  <si>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</si>
  <si>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</si>
  <si>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</si>
  <si>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</si>
  <si>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</si>
  <si>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</si>
  <si>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</si>
  <si>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</si>
  <si>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</si>
  <si>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</si>
  <si>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</si>
  <si>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</si>
  <si>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</si>
  <si>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</si>
  <si>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</si>
  <si>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</si>
  <si>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</si>
  <si>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</si>
  <si>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</si>
  <si>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</si>
  <si>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</si>
  <si>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</si>
  <si>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</si>
  <si>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</si>
  <si>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</si>
  <si>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</si>
  <si>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</si>
  <si>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</si>
  <si>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</si>
  <si>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</si>
  <si>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</si>
  <si>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</si>
  <si>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</si>
  <si>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</si>
  <si>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</si>
  <si>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</si>
  <si>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</si>
  <si>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</si>
  <si>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</si>
  <si>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</si>
  <si>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</si>
  <si>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</si>
  <si>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</si>
  <si>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</si>
  <si>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</si>
  <si>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</si>
  <si>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</si>
  <si>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</si>
  <si>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</si>
  <si>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</si>
  <si>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</si>
  <si>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</si>
  <si>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</si>
  <si>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</si>
  <si>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</si>
  <si>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</si>
  <si>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</si>
  <si>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</si>
  <si>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</si>
  <si>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</si>
  <si>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</si>
  <si>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</si>
  <si>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</si>
  <si>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</si>
  <si>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</si>
  <si>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</si>
  <si>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</si>
  <si>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</si>
  <si>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</si>
  <si>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Downtime for Run 2017-1</t>
  </si>
  <si>
    <t>Power event [OTH]</t>
  </si>
  <si>
    <t>S27A:Q1 P.S. trip[PS]</t>
  </si>
  <si>
    <t>S29/30 PW bypass Vlv[MOM]</t>
  </si>
  <si>
    <t>Pump Ctrl fault [MOM]</t>
  </si>
  <si>
    <t>S2/3 Raw P.S. trip[PS]</t>
  </si>
  <si>
    <t>ComEd</t>
  </si>
  <si>
    <t>Run 2017-1</t>
  </si>
  <si>
    <t>S20A:Q3 dropout [PS]</t>
  </si>
  <si>
    <t>Pump 405 leak [MOM]</t>
  </si>
  <si>
    <t>Under investigation</t>
  </si>
  <si>
    <t>Failed absorber card[MOM]</t>
  </si>
  <si>
    <t>S2A:V3 P.S. glitch [PS]</t>
  </si>
  <si>
    <t>Trouble injecting, changed tunes [AOP]</t>
  </si>
  <si>
    <t>Inhibits Beam to user</t>
  </si>
  <si>
    <t>Restored correct valve pos., recovered, refilled</t>
  </si>
  <si>
    <t>Human error [MOM]</t>
  </si>
  <si>
    <t>S25A:H3 glitch [PS]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</si>
</sst>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8" xfId="0" applyNumberFormat="1" applyBorder="1" applyAlignment="1">
      <alignment/>
    </xf>
    <xf numFmtId="0" fontId="0" fillId="37" borderId="29" xfId="0" applyNumberFormat="1" applyFont="1" applyFill="1" applyBorder="1" applyAlignment="1">
      <alignment horizontal="right"/>
    </xf>
    <xf numFmtId="164" fontId="0" fillId="37" borderId="29" xfId="0" applyNumberFormat="1" applyFont="1" applyFill="1" applyBorder="1" applyAlignment="1">
      <alignment/>
    </xf>
    <xf numFmtId="2" fontId="0" fillId="38" borderId="29" xfId="0" applyNumberFormat="1" applyFont="1" applyFill="1" applyBorder="1" applyAlignment="1">
      <alignment horizontal="right"/>
    </xf>
    <xf numFmtId="0" fontId="0" fillId="37" borderId="29" xfId="0" applyNumberFormat="1" applyFont="1" applyFill="1" applyBorder="1" applyAlignment="1">
      <alignment horizontal="center"/>
    </xf>
    <xf numFmtId="164" fontId="0" fillId="37" borderId="29" xfId="0" applyNumberFormat="1" applyFont="1" applyFill="1" applyBorder="1" applyAlignment="1">
      <alignment horizontal="center"/>
    </xf>
    <xf numFmtId="0" fontId="0" fillId="37" borderId="29" xfId="0" applyNumberFormat="1" applyFont="1" applyFill="1" applyBorder="1" applyAlignment="1" applyProtection="1">
      <alignment/>
      <protection/>
    </xf>
    <xf numFmtId="0" fontId="0" fillId="37" borderId="29" xfId="0" applyNumberFormat="1" applyFont="1" applyFill="1" applyBorder="1" applyAlignment="1" applyProtection="1">
      <alignment/>
      <protection locked="0"/>
    </xf>
    <xf numFmtId="0" fontId="0" fillId="37" borderId="2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/>
    </xf>
    <xf numFmtId="2" fontId="0" fillId="35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30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9" xfId="0" applyNumberFormat="1" applyFont="1" applyFill="1" applyBorder="1" applyAlignment="1">
      <alignment horizontal="right"/>
    </xf>
    <xf numFmtId="0" fontId="0" fillId="0" borderId="3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1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26" xfId="0" applyNumberFormat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2017-1 Downtime by System 
January 31 - April 25, 2017
 Scheduled User Time = 1719 hours     
User downtime = 20.95 hours</a:t>
            </a:r>
          </a:p>
        </c:rich>
      </c:tx>
      <c:layout>
        <c:manualLayout>
          <c:xMode val="factor"/>
          <c:yMode val="factor"/>
          <c:x val="-0.005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2017-1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0.007310451813128555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0.0040430482839606124</c:v>
                </c:pt>
                <c:pt idx="8">
                  <c:v>0.0005138646499384011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0.0003199534612402337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0.0002423889858219172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56117941"/>
        <c:axId val="21460858"/>
      </c:barChart>
      <c:catAx>
        <c:axId val="5611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0858"/>
        <c:crosses val="autoZero"/>
        <c:auto val="1"/>
        <c:lblOffset val="100"/>
        <c:tickLblSkip val="1"/>
        <c:noMultiLvlLbl val="0"/>
      </c:catAx>
      <c:valAx>
        <c:axId val="21460858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941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675"/>
          <c:w val="0.937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2017-1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0.07066929713495182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0.08480315656194219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0.014133859426990365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63683651"/>
        <c:axId val="19790304"/>
      </c:barChart>
      <c:catAx>
        <c:axId val="63683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0304"/>
        <c:crossesAt val="0"/>
        <c:auto val="1"/>
        <c:lblOffset val="100"/>
        <c:tickLblSkip val="1"/>
        <c:noMultiLvlLbl val="0"/>
      </c:catAx>
      <c:valAx>
        <c:axId val="1979030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3651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86</xdr:row>
      <xdr:rowOff>76200</xdr:rowOff>
    </xdr:from>
    <xdr:to>
      <xdr:col>11</xdr:col>
      <xdr:colOff>85725</xdr:colOff>
      <xdr:row>87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5506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85725</xdr:rowOff>
    </xdr:from>
    <xdr:to>
      <xdr:col>11</xdr:col>
      <xdr:colOff>85725</xdr:colOff>
      <xdr:row>45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69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43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ComEd"/>
        <s v="MOM"/>
        <s v="PS"/>
        <m/>
        <s v="AOP"/>
        <s v="SI"/>
        <s v="RF"/>
        <s v="CTL"/>
        <s v="BL"/>
        <s v="DIA"/>
        <s v="UNK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3"/>
        <item x="2"/>
        <item m="1" x="6"/>
        <item m="1" x="9"/>
        <item x="1"/>
        <item m="1" x="8"/>
        <item x="4"/>
        <item m="1" x="5"/>
        <item x="0"/>
        <item m="1" x="7"/>
        <item m="1"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5">
    <i>
      <x v="1"/>
    </i>
    <i>
      <x v="4"/>
    </i>
    <i>
      <x v="6"/>
    </i>
    <i>
      <x v="8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tabSelected="1" zoomScale="75" zoomScaleNormal="75" zoomScalePageLayoutView="0" workbookViewId="0" topLeftCell="A1">
      <pane ySplit="5" topLeftCell="A28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9" t="s">
        <v>3</v>
      </c>
      <c r="B5" s="100" t="s">
        <v>4</v>
      </c>
      <c r="C5" s="100" t="s">
        <v>5</v>
      </c>
      <c r="D5" s="101" t="s">
        <v>6</v>
      </c>
      <c r="E5" s="102" t="s">
        <v>7</v>
      </c>
      <c r="F5" s="99" t="s">
        <v>8</v>
      </c>
      <c r="G5" s="103" t="s">
        <v>9</v>
      </c>
      <c r="H5" s="100" t="s">
        <v>4</v>
      </c>
      <c r="I5" s="100" t="s">
        <v>5</v>
      </c>
      <c r="J5" s="104" t="s">
        <v>10</v>
      </c>
      <c r="K5" s="105" t="s">
        <v>11</v>
      </c>
      <c r="L5" s="106" t="s">
        <v>12</v>
      </c>
      <c r="M5" s="107" t="s">
        <v>13</v>
      </c>
      <c r="N5" s="107" t="s">
        <v>14</v>
      </c>
      <c r="O5" s="106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20" customFormat="1" ht="15.75" customHeight="1">
      <c r="A6" s="136">
        <v>1</v>
      </c>
      <c r="B6" s="137">
        <v>42766.333333333336</v>
      </c>
      <c r="C6" s="137">
        <v>42767.3625</v>
      </c>
      <c r="D6" s="138">
        <f>(C6-B6)*24</f>
        <v>24.70000000001164</v>
      </c>
      <c r="E6" s="137" t="s">
        <v>70</v>
      </c>
      <c r="F6" s="139">
        <v>106634</v>
      </c>
      <c r="G6" s="140"/>
      <c r="H6" s="137">
        <v>42767.3625</v>
      </c>
      <c r="I6" s="137">
        <v>42767.385416666664</v>
      </c>
      <c r="J6" s="138">
        <f>(I6-H6)*24</f>
        <v>0.5499999998719431</v>
      </c>
      <c r="K6" s="138">
        <f>(I6-H6)*24</f>
        <v>0.5499999998719431</v>
      </c>
      <c r="L6" s="141" t="s">
        <v>75</v>
      </c>
      <c r="M6" s="142" t="s">
        <v>75</v>
      </c>
      <c r="N6" s="142" t="s">
        <v>75</v>
      </c>
      <c r="O6" s="143" t="s">
        <v>17</v>
      </c>
      <c r="P6" s="137"/>
      <c r="Q6" s="132">
        <f aca="true" t="shared" si="0" ref="Q6:Q42">IF($O6="Store Lost",1,"")</f>
        <v>1</v>
      </c>
      <c r="R6" s="132">
        <f aca="true" t="shared" si="1" ref="R6:R42">IF($O6="Scheduled",1,"")</f>
      </c>
      <c r="S6" s="132">
        <f aca="true" t="shared" si="2" ref="S6:S42">IF($O6="Inhibits beam to user",1,"")</f>
      </c>
      <c r="T6" s="133">
        <f aca="true" t="shared" si="3" ref="T6:T14">SUM(Q6:S6)</f>
        <v>1</v>
      </c>
      <c r="U6" s="119"/>
      <c r="V6" s="119"/>
      <c r="W6" s="119"/>
    </row>
    <row r="7" spans="1:23" s="135" customFormat="1" ht="12.75">
      <c r="A7" s="124">
        <v>2</v>
      </c>
      <c r="B7" s="125">
        <v>42767.385416666664</v>
      </c>
      <c r="C7" s="125">
        <v>42769.53958333333</v>
      </c>
      <c r="D7" s="126">
        <f>(C7-B7)*24</f>
        <v>51.70000000001164</v>
      </c>
      <c r="E7" s="125" t="s">
        <v>72</v>
      </c>
      <c r="F7" s="127">
        <v>106639</v>
      </c>
      <c r="G7" s="128"/>
      <c r="H7" s="125">
        <v>42769.53958333333</v>
      </c>
      <c r="I7" s="125">
        <v>42769.57361111111</v>
      </c>
      <c r="J7" s="126">
        <f>(I7-H7)*24</f>
        <v>0.8166666667093523</v>
      </c>
      <c r="K7" s="126">
        <f>(I7-H7)*24</f>
        <v>0.8166666667093523</v>
      </c>
      <c r="L7" s="129" t="s">
        <v>24</v>
      </c>
      <c r="M7" s="130" t="s">
        <v>24</v>
      </c>
      <c r="N7" s="130" t="s">
        <v>24</v>
      </c>
      <c r="O7" s="131" t="s">
        <v>17</v>
      </c>
      <c r="P7" s="125"/>
      <c r="Q7" s="132">
        <f t="shared" si="0"/>
        <v>1</v>
      </c>
      <c r="R7" s="132">
        <f t="shared" si="1"/>
      </c>
      <c r="S7" s="132">
        <f t="shared" si="2"/>
      </c>
      <c r="T7" s="133">
        <f t="shared" si="3"/>
        <v>1</v>
      </c>
      <c r="U7" s="134"/>
      <c r="V7" s="134"/>
      <c r="W7" s="134"/>
    </row>
    <row r="8" spans="1:23" s="135" customFormat="1" ht="12.75">
      <c r="A8" s="136">
        <v>3</v>
      </c>
      <c r="B8" s="137">
        <v>42769.57361111111</v>
      </c>
      <c r="C8" s="137">
        <v>42771.063888888886</v>
      </c>
      <c r="D8" s="138">
        <f>(C8-B8)*24</f>
        <v>35.76666666660458</v>
      </c>
      <c r="E8" s="137" t="s">
        <v>71</v>
      </c>
      <c r="F8" s="139">
        <v>106641</v>
      </c>
      <c r="G8" s="140"/>
      <c r="H8" s="137">
        <v>42771.063888888886</v>
      </c>
      <c r="I8" s="137">
        <v>42771.160416666666</v>
      </c>
      <c r="J8" s="138">
        <f>(I8-H8)*24</f>
        <v>2.3166666667093523</v>
      </c>
      <c r="K8" s="138">
        <f>(I8-H8)*24</f>
        <v>2.3166666667093523</v>
      </c>
      <c r="L8" s="141" t="s">
        <v>22</v>
      </c>
      <c r="M8" s="142" t="s">
        <v>22</v>
      </c>
      <c r="N8" s="142" t="s">
        <v>22</v>
      </c>
      <c r="O8" s="143" t="s">
        <v>17</v>
      </c>
      <c r="P8" s="137"/>
      <c r="Q8" s="132">
        <f t="shared" si="0"/>
        <v>1</v>
      </c>
      <c r="R8" s="132">
        <f t="shared" si="1"/>
      </c>
      <c r="S8" s="132">
        <f t="shared" si="2"/>
      </c>
      <c r="T8" s="133">
        <f t="shared" si="3"/>
        <v>1</v>
      </c>
      <c r="U8" s="134"/>
      <c r="V8" s="134"/>
      <c r="W8" s="134"/>
    </row>
    <row r="9" spans="1:23" s="120" customFormat="1" ht="15.75" customHeight="1">
      <c r="A9" s="124">
        <v>4</v>
      </c>
      <c r="B9" s="125">
        <v>42771.160416666666</v>
      </c>
      <c r="C9" s="125">
        <v>42772.333333333336</v>
      </c>
      <c r="D9" s="156">
        <f>(C9-B9)*24</f>
        <v>28.15000000008149</v>
      </c>
      <c r="E9" s="125" t="s">
        <v>67</v>
      </c>
      <c r="F9" s="127"/>
      <c r="G9" s="128"/>
      <c r="H9" s="125"/>
      <c r="I9" s="125"/>
      <c r="J9" s="156">
        <f>(I9-H9)*24</f>
        <v>0</v>
      </c>
      <c r="K9" s="156">
        <f>(I9-H9)*24</f>
        <v>0</v>
      </c>
      <c r="L9" s="129"/>
      <c r="M9" s="130"/>
      <c r="N9" s="130"/>
      <c r="O9" s="131" t="s">
        <v>21</v>
      </c>
      <c r="P9" s="125"/>
      <c r="Q9" s="132">
        <f t="shared" si="0"/>
      </c>
      <c r="R9" s="132">
        <f t="shared" si="1"/>
        <v>1</v>
      </c>
      <c r="S9" s="132">
        <f t="shared" si="2"/>
      </c>
      <c r="T9" s="133">
        <f t="shared" si="3"/>
        <v>1</v>
      </c>
      <c r="U9" s="119"/>
      <c r="V9" s="119"/>
      <c r="W9" s="119"/>
    </row>
    <row r="10" spans="1:23" s="155" customFormat="1" ht="12.75">
      <c r="A10" s="144"/>
      <c r="B10" s="145"/>
      <c r="C10" s="145"/>
      <c r="D10" s="146">
        <f>SUM(D6:D9)</f>
        <v>140.31666666670935</v>
      </c>
      <c r="E10" s="147"/>
      <c r="F10" s="148"/>
      <c r="G10" s="149"/>
      <c r="H10" s="150"/>
      <c r="I10" s="150"/>
      <c r="J10" s="151">
        <f>SUM(J6:J9)</f>
        <v>3.6833333332906477</v>
      </c>
      <c r="K10" s="151">
        <f>SUM(K6:K9)</f>
        <v>3.6833333332906477</v>
      </c>
      <c r="L10" s="152"/>
      <c r="M10" s="153"/>
      <c r="N10" s="153"/>
      <c r="O10" s="154"/>
      <c r="P10" s="147"/>
      <c r="Q10" s="132">
        <f t="shared" si="0"/>
      </c>
      <c r="R10" s="132">
        <f t="shared" si="1"/>
      </c>
      <c r="S10" s="132">
        <f t="shared" si="2"/>
      </c>
      <c r="T10" s="133">
        <f t="shared" si="3"/>
        <v>0</v>
      </c>
      <c r="U10" s="30"/>
      <c r="V10" s="30"/>
      <c r="W10" s="30"/>
    </row>
    <row r="11" spans="1:23" s="135" customFormat="1" ht="12.75">
      <c r="A11" s="124">
        <v>5</v>
      </c>
      <c r="B11" s="125">
        <v>42773.333333333336</v>
      </c>
      <c r="C11" s="125">
        <v>42775.43402777778</v>
      </c>
      <c r="D11" s="126">
        <f>(C11-B11)*24</f>
        <v>50.41666666668607</v>
      </c>
      <c r="E11" s="125" t="s">
        <v>73</v>
      </c>
      <c r="F11" s="127">
        <v>106645</v>
      </c>
      <c r="G11" s="128"/>
      <c r="H11" s="125">
        <v>42775.43402777778</v>
      </c>
      <c r="I11" s="125">
        <v>42775.49513888889</v>
      </c>
      <c r="J11" s="126">
        <f>(I11-H11)*24</f>
        <v>1.4666666665580124</v>
      </c>
      <c r="K11" s="126">
        <f>(I11-H11)*24</f>
        <v>1.4666666665580124</v>
      </c>
      <c r="L11" s="129" t="s">
        <v>24</v>
      </c>
      <c r="M11" s="130" t="s">
        <v>24</v>
      </c>
      <c r="N11" s="130" t="s">
        <v>24</v>
      </c>
      <c r="O11" s="131" t="s">
        <v>17</v>
      </c>
      <c r="P11" s="125"/>
      <c r="Q11" s="132">
        <f t="shared" si="0"/>
        <v>1</v>
      </c>
      <c r="R11" s="132">
        <f t="shared" si="1"/>
      </c>
      <c r="S11" s="132">
        <f t="shared" si="2"/>
      </c>
      <c r="T11" s="133">
        <f t="shared" si="3"/>
        <v>1</v>
      </c>
      <c r="U11" s="134"/>
      <c r="V11" s="134"/>
      <c r="W11" s="134"/>
    </row>
    <row r="12" spans="1:23" s="135" customFormat="1" ht="12.75">
      <c r="A12" s="136">
        <v>6</v>
      </c>
      <c r="B12" s="137">
        <v>42775.49513888889</v>
      </c>
      <c r="C12" s="137">
        <v>42775.603472222225</v>
      </c>
      <c r="D12" s="138">
        <f>(C12-B12)*24</f>
        <v>2.6000000000931323</v>
      </c>
      <c r="E12" s="137" t="s">
        <v>74</v>
      </c>
      <c r="F12" s="139">
        <v>106646</v>
      </c>
      <c r="G12" s="140"/>
      <c r="H12" s="137">
        <v>42775.603472222225</v>
      </c>
      <c r="I12" s="137">
        <v>42775.75069444445</v>
      </c>
      <c r="J12" s="138">
        <f>(I12-H12)*24</f>
        <v>3.5333333333255723</v>
      </c>
      <c r="K12" s="138">
        <f>(I12-H12)*24</f>
        <v>3.5333333333255723</v>
      </c>
      <c r="L12" s="141" t="s">
        <v>22</v>
      </c>
      <c r="M12" s="142" t="s">
        <v>22</v>
      </c>
      <c r="N12" s="142" t="s">
        <v>22</v>
      </c>
      <c r="O12" s="143" t="s">
        <v>17</v>
      </c>
      <c r="P12" s="137"/>
      <c r="Q12" s="132">
        <f t="shared" si="0"/>
        <v>1</v>
      </c>
      <c r="R12" s="132">
        <f t="shared" si="1"/>
      </c>
      <c r="S12" s="132">
        <f t="shared" si="2"/>
      </c>
      <c r="T12" s="133">
        <f t="shared" si="3"/>
        <v>1</v>
      </c>
      <c r="U12" s="134"/>
      <c r="V12" s="134"/>
      <c r="W12" s="134"/>
    </row>
    <row r="13" spans="1:23" s="120" customFormat="1" ht="15.75" customHeight="1">
      <c r="A13" s="124">
        <v>7</v>
      </c>
      <c r="B13" s="125">
        <v>42775.75069444445</v>
      </c>
      <c r="C13" s="125">
        <v>42779.333333333336</v>
      </c>
      <c r="D13" s="156">
        <f>(C13-B13)*24</f>
        <v>85.98333333333721</v>
      </c>
      <c r="E13" s="125" t="s">
        <v>67</v>
      </c>
      <c r="F13" s="127"/>
      <c r="G13" s="128"/>
      <c r="H13" s="125"/>
      <c r="I13" s="125"/>
      <c r="J13" s="156">
        <f>(I13-H13)*24</f>
        <v>0</v>
      </c>
      <c r="K13" s="156">
        <f>(I13-H13)*24</f>
        <v>0</v>
      </c>
      <c r="L13" s="129"/>
      <c r="M13" s="130"/>
      <c r="N13" s="130"/>
      <c r="O13" s="131" t="s">
        <v>21</v>
      </c>
      <c r="P13" s="125"/>
      <c r="Q13" s="132">
        <f t="shared" si="0"/>
      </c>
      <c r="R13" s="132">
        <f t="shared" si="1"/>
        <v>1</v>
      </c>
      <c r="S13" s="132">
        <f t="shared" si="2"/>
      </c>
      <c r="T13" s="133">
        <f t="shared" si="3"/>
        <v>1</v>
      </c>
      <c r="U13" s="119"/>
      <c r="V13" s="119"/>
      <c r="W13" s="119"/>
    </row>
    <row r="14" spans="1:23" s="155" customFormat="1" ht="12.75">
      <c r="A14" s="144"/>
      <c r="B14" s="145"/>
      <c r="C14" s="145"/>
      <c r="D14" s="146">
        <f>SUM(D11:D13)</f>
        <v>139.00000000011642</v>
      </c>
      <c r="E14" s="147"/>
      <c r="F14" s="148"/>
      <c r="G14" s="149"/>
      <c r="H14" s="150"/>
      <c r="I14" s="150"/>
      <c r="J14" s="151">
        <f>SUM(J11:J13)</f>
        <v>4.999999999883585</v>
      </c>
      <c r="K14" s="151">
        <f>SUM(K11:K13)</f>
        <v>4.999999999883585</v>
      </c>
      <c r="L14" s="152"/>
      <c r="M14" s="153"/>
      <c r="N14" s="153"/>
      <c r="O14" s="154"/>
      <c r="P14" s="147"/>
      <c r="Q14" s="132">
        <f t="shared" si="0"/>
      </c>
      <c r="R14" s="132">
        <f t="shared" si="1"/>
      </c>
      <c r="S14" s="132">
        <f t="shared" si="2"/>
      </c>
      <c r="T14" s="133">
        <f t="shared" si="3"/>
        <v>0</v>
      </c>
      <c r="U14" s="30"/>
      <c r="V14" s="30"/>
      <c r="W14" s="30"/>
    </row>
    <row r="15" spans="1:23" s="135" customFormat="1" ht="12.75">
      <c r="A15" s="124">
        <v>8</v>
      </c>
      <c r="B15" s="125">
        <v>42780.333333333336</v>
      </c>
      <c r="C15" s="125">
        <v>42784.200694444444</v>
      </c>
      <c r="D15" s="126">
        <f>(C15-B15)*24</f>
        <v>92.81666666659294</v>
      </c>
      <c r="E15" s="125" t="s">
        <v>78</v>
      </c>
      <c r="F15" s="127">
        <v>106647</v>
      </c>
      <c r="G15" s="128"/>
      <c r="H15" s="125">
        <v>42784.200694444444</v>
      </c>
      <c r="I15" s="125">
        <v>42784.22638888889</v>
      </c>
      <c r="J15" s="126">
        <f>(I15-H15)*24</f>
        <v>0.6166666667559184</v>
      </c>
      <c r="K15" s="126">
        <f>(I15-H15)*24</f>
        <v>0.6166666667559184</v>
      </c>
      <c r="L15" s="129" t="s">
        <v>24</v>
      </c>
      <c r="M15" s="130" t="s">
        <v>24</v>
      </c>
      <c r="N15" s="130" t="s">
        <v>24</v>
      </c>
      <c r="O15" s="131" t="s">
        <v>17</v>
      </c>
      <c r="P15" s="125"/>
      <c r="Q15" s="132">
        <f t="shared" si="0"/>
        <v>1</v>
      </c>
      <c r="R15" s="132">
        <f t="shared" si="1"/>
      </c>
      <c r="S15" s="132">
        <f t="shared" si="2"/>
      </c>
      <c r="T15" s="133">
        <f aca="true" t="shared" si="4" ref="T15:T20">SUM(Q15:S15)</f>
        <v>1</v>
      </c>
      <c r="U15" s="134"/>
      <c r="V15" s="134"/>
      <c r="W15" s="134"/>
    </row>
    <row r="16" spans="1:23" s="135" customFormat="1" ht="12.75">
      <c r="A16" s="136">
        <v>9</v>
      </c>
      <c r="B16" s="137">
        <v>42784.22638888889</v>
      </c>
      <c r="C16" s="137">
        <v>42785.086805555555</v>
      </c>
      <c r="D16" s="138">
        <f>(C16-B16)*24</f>
        <v>20.649999999906868</v>
      </c>
      <c r="E16" s="137" t="s">
        <v>77</v>
      </c>
      <c r="F16" s="139">
        <v>106648</v>
      </c>
      <c r="G16" s="140"/>
      <c r="H16" s="137">
        <v>42785.086805555555</v>
      </c>
      <c r="I16" s="137">
        <v>42785.31875</v>
      </c>
      <c r="J16" s="138">
        <f>(I16-H16)*24</f>
        <v>5.566666666651145</v>
      </c>
      <c r="K16" s="138">
        <f>(I16-H16)*24</f>
        <v>5.566666666651145</v>
      </c>
      <c r="L16" s="141" t="s">
        <v>22</v>
      </c>
      <c r="M16" s="142" t="s">
        <v>22</v>
      </c>
      <c r="N16" s="142" t="s">
        <v>22</v>
      </c>
      <c r="O16" s="143" t="s">
        <v>17</v>
      </c>
      <c r="P16" s="137"/>
      <c r="Q16" s="132">
        <f t="shared" si="0"/>
        <v>1</v>
      </c>
      <c r="R16" s="132">
        <f t="shared" si="1"/>
      </c>
      <c r="S16" s="132">
        <f t="shared" si="2"/>
      </c>
      <c r="T16" s="133">
        <f t="shared" si="4"/>
        <v>1</v>
      </c>
      <c r="U16" s="134"/>
      <c r="V16" s="134"/>
      <c r="W16" s="134"/>
    </row>
    <row r="17" spans="1:23" s="120" customFormat="1" ht="15.75" customHeight="1">
      <c r="A17" s="124">
        <v>10</v>
      </c>
      <c r="B17" s="125">
        <v>42785.31875</v>
      </c>
      <c r="C17" s="125">
        <v>42786.333333333336</v>
      </c>
      <c r="D17" s="156">
        <f>(C17-B17)*24</f>
        <v>24.350000000093132</v>
      </c>
      <c r="E17" s="125" t="s">
        <v>67</v>
      </c>
      <c r="F17" s="127"/>
      <c r="G17" s="128"/>
      <c r="H17" s="125"/>
      <c r="I17" s="125"/>
      <c r="J17" s="156">
        <f>(I17-H17)*24</f>
        <v>0</v>
      </c>
      <c r="K17" s="156">
        <f>(I17-H17)*24</f>
        <v>0</v>
      </c>
      <c r="L17" s="129"/>
      <c r="M17" s="130"/>
      <c r="N17" s="130"/>
      <c r="O17" s="131" t="s">
        <v>21</v>
      </c>
      <c r="P17" s="125"/>
      <c r="Q17" s="132">
        <f t="shared" si="0"/>
      </c>
      <c r="R17" s="132">
        <f t="shared" si="1"/>
        <v>1</v>
      </c>
      <c r="S17" s="132">
        <f t="shared" si="2"/>
      </c>
      <c r="T17" s="133">
        <f t="shared" si="4"/>
        <v>1</v>
      </c>
      <c r="U17" s="119"/>
      <c r="V17" s="119"/>
      <c r="W17" s="119"/>
    </row>
    <row r="18" spans="1:23" s="155" customFormat="1" ht="12.75">
      <c r="A18" s="144"/>
      <c r="B18" s="145"/>
      <c r="C18" s="145"/>
      <c r="D18" s="146">
        <f>SUM(D15:D17)</f>
        <v>137.81666666659294</v>
      </c>
      <c r="E18" s="147"/>
      <c r="F18" s="148"/>
      <c r="G18" s="149"/>
      <c r="H18" s="150"/>
      <c r="I18" s="150"/>
      <c r="J18" s="151">
        <f>SUM(J15:J17)</f>
        <v>6.183333333407063</v>
      </c>
      <c r="K18" s="151">
        <f>SUM(K15:K17)</f>
        <v>6.183333333407063</v>
      </c>
      <c r="L18" s="152"/>
      <c r="M18" s="153"/>
      <c r="N18" s="153"/>
      <c r="O18" s="154"/>
      <c r="P18" s="147"/>
      <c r="Q18" s="132">
        <f t="shared" si="0"/>
      </c>
      <c r="R18" s="132">
        <f t="shared" si="1"/>
      </c>
      <c r="S18" s="132">
        <f t="shared" si="2"/>
      </c>
      <c r="T18" s="133">
        <f t="shared" si="4"/>
        <v>0</v>
      </c>
      <c r="U18" s="30"/>
      <c r="V18" s="30"/>
      <c r="W18" s="30"/>
    </row>
    <row r="19" spans="1:23" s="120" customFormat="1" ht="15.75" customHeight="1">
      <c r="A19" s="124">
        <v>11</v>
      </c>
      <c r="B19" s="125">
        <v>42787.333333333336</v>
      </c>
      <c r="C19" s="125">
        <v>42793.333333333336</v>
      </c>
      <c r="D19" s="156">
        <f>(C19-B19)*24</f>
        <v>144</v>
      </c>
      <c r="E19" s="125" t="s">
        <v>67</v>
      </c>
      <c r="F19" s="127"/>
      <c r="G19" s="128"/>
      <c r="H19" s="125"/>
      <c r="I19" s="125"/>
      <c r="J19" s="156">
        <f>(I19-H19)*24</f>
        <v>0</v>
      </c>
      <c r="K19" s="156">
        <f>(I19-H19)*24</f>
        <v>0</v>
      </c>
      <c r="L19" s="129"/>
      <c r="M19" s="130"/>
      <c r="N19" s="130"/>
      <c r="O19" s="131" t="s">
        <v>21</v>
      </c>
      <c r="P19" s="125"/>
      <c r="Q19" s="132">
        <f t="shared" si="0"/>
      </c>
      <c r="R19" s="132">
        <f t="shared" si="1"/>
        <v>1</v>
      </c>
      <c r="S19" s="132">
        <f t="shared" si="2"/>
      </c>
      <c r="T19" s="133">
        <f t="shared" si="4"/>
        <v>1</v>
      </c>
      <c r="U19" s="119"/>
      <c r="V19" s="119"/>
      <c r="W19" s="119"/>
    </row>
    <row r="20" spans="1:23" s="155" customFormat="1" ht="12.75">
      <c r="A20" s="144"/>
      <c r="B20" s="145"/>
      <c r="C20" s="145"/>
      <c r="D20" s="146">
        <f>SUM(D19:D19)</f>
        <v>144</v>
      </c>
      <c r="E20" s="147"/>
      <c r="F20" s="148"/>
      <c r="G20" s="149"/>
      <c r="H20" s="150"/>
      <c r="I20" s="150"/>
      <c r="J20" s="151">
        <f>SUM(J19:J19)</f>
        <v>0</v>
      </c>
      <c r="K20" s="151">
        <f>SUM(K19:K19)</f>
        <v>0</v>
      </c>
      <c r="L20" s="152"/>
      <c r="M20" s="153"/>
      <c r="N20" s="153"/>
      <c r="O20" s="154"/>
      <c r="P20" s="147"/>
      <c r="Q20" s="132">
        <f t="shared" si="0"/>
      </c>
      <c r="R20" s="132">
        <f t="shared" si="1"/>
      </c>
      <c r="S20" s="132">
        <f t="shared" si="2"/>
      </c>
      <c r="T20" s="133">
        <f t="shared" si="4"/>
        <v>0</v>
      </c>
      <c r="U20" s="30"/>
      <c r="V20" s="30"/>
      <c r="W20" s="30"/>
    </row>
    <row r="21" spans="1:23" s="120" customFormat="1" ht="15.75" customHeight="1">
      <c r="A21" s="124">
        <v>12</v>
      </c>
      <c r="B21" s="125">
        <v>42795.333333333336</v>
      </c>
      <c r="C21" s="125">
        <v>42800.333333333336</v>
      </c>
      <c r="D21" s="156">
        <f>(C21-B21)*24</f>
        <v>120</v>
      </c>
      <c r="E21" s="125" t="s">
        <v>67</v>
      </c>
      <c r="F21" s="127"/>
      <c r="G21" s="128"/>
      <c r="H21" s="125"/>
      <c r="I21" s="125"/>
      <c r="J21" s="156">
        <f>(I21-H21)*24</f>
        <v>0</v>
      </c>
      <c r="K21" s="156">
        <f>(I21-H21)*24</f>
        <v>0</v>
      </c>
      <c r="L21" s="129"/>
      <c r="M21" s="130"/>
      <c r="N21" s="130"/>
      <c r="O21" s="131" t="s">
        <v>21</v>
      </c>
      <c r="P21" s="125"/>
      <c r="Q21" s="132">
        <f t="shared" si="0"/>
      </c>
      <c r="R21" s="132">
        <f t="shared" si="1"/>
        <v>1</v>
      </c>
      <c r="S21" s="132">
        <f t="shared" si="2"/>
      </c>
      <c r="T21" s="133">
        <f aca="true" t="shared" si="5" ref="T21:T28">SUM(Q21:S21)</f>
        <v>1</v>
      </c>
      <c r="U21" s="119"/>
      <c r="V21" s="119"/>
      <c r="W21" s="119"/>
    </row>
    <row r="22" spans="1:23" s="155" customFormat="1" ht="12.75">
      <c r="A22" s="144"/>
      <c r="B22" s="145"/>
      <c r="C22" s="145"/>
      <c r="D22" s="146">
        <f>SUM(D21:D21)</f>
        <v>120</v>
      </c>
      <c r="E22" s="147"/>
      <c r="F22" s="148"/>
      <c r="G22" s="149"/>
      <c r="H22" s="150"/>
      <c r="I22" s="150"/>
      <c r="J22" s="151">
        <f>SUM(J21:J21)</f>
        <v>0</v>
      </c>
      <c r="K22" s="151">
        <f>SUM(K21:K21)</f>
        <v>0</v>
      </c>
      <c r="L22" s="152"/>
      <c r="M22" s="153"/>
      <c r="N22" s="153"/>
      <c r="O22" s="154"/>
      <c r="P22" s="147"/>
      <c r="Q22" s="132">
        <f t="shared" si="0"/>
      </c>
      <c r="R22" s="132">
        <f t="shared" si="1"/>
      </c>
      <c r="S22" s="132">
        <f t="shared" si="2"/>
      </c>
      <c r="T22" s="133">
        <f t="shared" si="5"/>
        <v>0</v>
      </c>
      <c r="U22" s="30"/>
      <c r="V22" s="30"/>
      <c r="W22" s="30"/>
    </row>
    <row r="23" spans="1:23" s="135" customFormat="1" ht="12.75">
      <c r="A23" s="124"/>
      <c r="B23" s="125"/>
      <c r="C23" s="125"/>
      <c r="D23" s="126">
        <f>(C23-B23)*24</f>
        <v>0</v>
      </c>
      <c r="E23" s="125"/>
      <c r="F23" s="127">
        <v>106654</v>
      </c>
      <c r="G23" s="128"/>
      <c r="H23" s="125">
        <v>42801.333333333336</v>
      </c>
      <c r="I23" s="125">
        <v>42801.37013888889</v>
      </c>
      <c r="J23" s="126">
        <f>(I23-H23)*24</f>
        <v>0.8833333332440816</v>
      </c>
      <c r="K23" s="126">
        <f>(I23-H23)*24</f>
        <v>0.8833333332440816</v>
      </c>
      <c r="L23" s="129" t="s">
        <v>65</v>
      </c>
      <c r="M23" s="130" t="s">
        <v>65</v>
      </c>
      <c r="N23" s="130" t="s">
        <v>65</v>
      </c>
      <c r="O23" s="131" t="s">
        <v>83</v>
      </c>
      <c r="P23" s="125" t="s">
        <v>82</v>
      </c>
      <c r="Q23" s="132">
        <f t="shared" si="0"/>
      </c>
      <c r="R23" s="132">
        <f t="shared" si="1"/>
      </c>
      <c r="S23" s="132">
        <f t="shared" si="2"/>
        <v>1</v>
      </c>
      <c r="T23" s="133">
        <f t="shared" si="5"/>
        <v>1</v>
      </c>
      <c r="U23" s="134"/>
      <c r="V23" s="134"/>
      <c r="W23" s="134"/>
    </row>
    <row r="24" spans="1:23" s="135" customFormat="1" ht="12.75">
      <c r="A24" s="136">
        <v>13</v>
      </c>
      <c r="B24" s="137">
        <v>42801.37013888889</v>
      </c>
      <c r="C24" s="137">
        <v>42804.35902777778</v>
      </c>
      <c r="D24" s="138">
        <f>(C24-B24)*24-1</f>
        <v>70.73333333333721</v>
      </c>
      <c r="E24" s="137" t="s">
        <v>81</v>
      </c>
      <c r="F24" s="139">
        <v>106656</v>
      </c>
      <c r="G24" s="140"/>
      <c r="H24" s="137">
        <v>42804.35902777778</v>
      </c>
      <c r="I24" s="137">
        <v>42804.388194444444</v>
      </c>
      <c r="J24" s="138">
        <f>(I24-H24)*24</f>
        <v>0.7000000000116415</v>
      </c>
      <c r="K24" s="138">
        <f>(I24-H24)*24</f>
        <v>0.7000000000116415</v>
      </c>
      <c r="L24" s="141" t="s">
        <v>24</v>
      </c>
      <c r="M24" s="142" t="s">
        <v>24</v>
      </c>
      <c r="N24" s="142" t="s">
        <v>24</v>
      </c>
      <c r="O24" s="143" t="s">
        <v>17</v>
      </c>
      <c r="P24" s="137"/>
      <c r="Q24" s="132">
        <f t="shared" si="0"/>
        <v>1</v>
      </c>
      <c r="R24" s="132">
        <f t="shared" si="1"/>
      </c>
      <c r="S24" s="132">
        <f t="shared" si="2"/>
      </c>
      <c r="T24" s="133">
        <f t="shared" si="5"/>
        <v>1</v>
      </c>
      <c r="U24" s="134"/>
      <c r="V24" s="134"/>
      <c r="W24" s="134"/>
    </row>
    <row r="25" spans="1:23" s="120" customFormat="1" ht="15.75" customHeight="1">
      <c r="A25" s="124">
        <v>14</v>
      </c>
      <c r="B25" s="125">
        <v>42804.388194444444</v>
      </c>
      <c r="C25" s="125">
        <v>42807.333333333336</v>
      </c>
      <c r="D25" s="156">
        <f>(C25-B25)*24</f>
        <v>70.68333333340706</v>
      </c>
      <c r="E25" s="125" t="s">
        <v>67</v>
      </c>
      <c r="F25" s="127"/>
      <c r="G25" s="128"/>
      <c r="H25" s="125"/>
      <c r="I25" s="125"/>
      <c r="J25" s="156">
        <f>(I25-H25)*24</f>
        <v>0</v>
      </c>
      <c r="K25" s="156">
        <f>(I25-H25)*24</f>
        <v>0</v>
      </c>
      <c r="L25" s="129"/>
      <c r="M25" s="130"/>
      <c r="N25" s="130"/>
      <c r="O25" s="131" t="s">
        <v>21</v>
      </c>
      <c r="P25" s="125"/>
      <c r="Q25" s="132">
        <f t="shared" si="0"/>
      </c>
      <c r="R25" s="132">
        <f t="shared" si="1"/>
        <v>1</v>
      </c>
      <c r="S25" s="132">
        <f t="shared" si="2"/>
      </c>
      <c r="T25" s="133">
        <f t="shared" si="5"/>
        <v>1</v>
      </c>
      <c r="U25" s="119"/>
      <c r="V25" s="119"/>
      <c r="W25" s="119"/>
    </row>
    <row r="26" spans="1:23" s="155" customFormat="1" ht="12.75">
      <c r="A26" s="144"/>
      <c r="B26" s="145"/>
      <c r="C26" s="145"/>
      <c r="D26" s="146">
        <f>SUM(D23:D25)</f>
        <v>141.41666666674428</v>
      </c>
      <c r="E26" s="147"/>
      <c r="F26" s="148"/>
      <c r="G26" s="149"/>
      <c r="H26" s="150"/>
      <c r="I26" s="150"/>
      <c r="J26" s="151">
        <f>SUM(J23:J25)</f>
        <v>1.5833333332557231</v>
      </c>
      <c r="K26" s="151">
        <f>SUM(K23:K25)</f>
        <v>1.5833333332557231</v>
      </c>
      <c r="L26" s="152"/>
      <c r="M26" s="153"/>
      <c r="N26" s="153"/>
      <c r="O26" s="154"/>
      <c r="P26" s="147"/>
      <c r="Q26" s="132">
        <f t="shared" si="0"/>
      </c>
      <c r="R26" s="132">
        <f t="shared" si="1"/>
      </c>
      <c r="S26" s="132">
        <f t="shared" si="2"/>
      </c>
      <c r="T26" s="133">
        <f t="shared" si="5"/>
        <v>0</v>
      </c>
      <c r="U26" s="30"/>
      <c r="V26" s="30"/>
      <c r="W26" s="30"/>
    </row>
    <row r="27" spans="1:23" s="120" customFormat="1" ht="15.75" customHeight="1">
      <c r="A27" s="124">
        <v>15</v>
      </c>
      <c r="B27" s="125">
        <v>42808.333333333336</v>
      </c>
      <c r="C27" s="125">
        <v>42814.333333333336</v>
      </c>
      <c r="D27" s="156">
        <f>(C27-B27)*24</f>
        <v>144</v>
      </c>
      <c r="E27" s="125" t="s">
        <v>67</v>
      </c>
      <c r="F27" s="127"/>
      <c r="G27" s="128"/>
      <c r="H27" s="125"/>
      <c r="I27" s="125"/>
      <c r="J27" s="156">
        <f>(I27-H27)*24</f>
        <v>0</v>
      </c>
      <c r="K27" s="156">
        <f>(I27-H27)*24</f>
        <v>0</v>
      </c>
      <c r="L27" s="129"/>
      <c r="M27" s="130"/>
      <c r="N27" s="130"/>
      <c r="O27" s="131" t="s">
        <v>21</v>
      </c>
      <c r="P27" s="125"/>
      <c r="Q27" s="132">
        <f t="shared" si="0"/>
      </c>
      <c r="R27" s="132">
        <f t="shared" si="1"/>
        <v>1</v>
      </c>
      <c r="S27" s="132">
        <f t="shared" si="2"/>
      </c>
      <c r="T27" s="133">
        <f t="shared" si="5"/>
        <v>1</v>
      </c>
      <c r="U27" s="119"/>
      <c r="V27" s="119"/>
      <c r="W27" s="119"/>
    </row>
    <row r="28" spans="1:23" s="155" customFormat="1" ht="12.75">
      <c r="A28" s="144"/>
      <c r="B28" s="145"/>
      <c r="C28" s="145"/>
      <c r="D28" s="146">
        <f>SUM(D27:D27)</f>
        <v>144</v>
      </c>
      <c r="E28" s="147"/>
      <c r="F28" s="148"/>
      <c r="G28" s="149"/>
      <c r="H28" s="150"/>
      <c r="I28" s="150"/>
      <c r="J28" s="151">
        <f>SUM(J27:J27)</f>
        <v>0</v>
      </c>
      <c r="K28" s="151">
        <f>SUM(K27:K27)</f>
        <v>0</v>
      </c>
      <c r="L28" s="152"/>
      <c r="M28" s="153"/>
      <c r="N28" s="153"/>
      <c r="O28" s="154"/>
      <c r="P28" s="147"/>
      <c r="Q28" s="132">
        <f t="shared" si="0"/>
      </c>
      <c r="R28" s="132">
        <f t="shared" si="1"/>
      </c>
      <c r="S28" s="132">
        <f t="shared" si="2"/>
      </c>
      <c r="T28" s="133">
        <f t="shared" si="5"/>
        <v>0</v>
      </c>
      <c r="U28" s="30"/>
      <c r="V28" s="30"/>
      <c r="W28" s="30"/>
    </row>
    <row r="29" spans="1:23" s="120" customFormat="1" ht="15.75" customHeight="1">
      <c r="A29" s="124">
        <v>16</v>
      </c>
      <c r="B29" s="125">
        <v>42815.333333333336</v>
      </c>
      <c r="C29" s="125">
        <v>42821.333333333336</v>
      </c>
      <c r="D29" s="156">
        <f>(C29-B29)*24</f>
        <v>144</v>
      </c>
      <c r="E29" s="125" t="s">
        <v>67</v>
      </c>
      <c r="F29" s="127"/>
      <c r="G29" s="128"/>
      <c r="H29" s="125"/>
      <c r="I29" s="125"/>
      <c r="J29" s="156">
        <f>(I29-H29)*24</f>
        <v>0</v>
      </c>
      <c r="K29" s="156">
        <f>(I29-H29)*24</f>
        <v>0</v>
      </c>
      <c r="L29" s="129"/>
      <c r="M29" s="130"/>
      <c r="N29" s="130"/>
      <c r="O29" s="131" t="s">
        <v>21</v>
      </c>
      <c r="P29" s="125"/>
      <c r="Q29" s="132">
        <f t="shared" si="0"/>
      </c>
      <c r="R29" s="132">
        <f t="shared" si="1"/>
        <v>1</v>
      </c>
      <c r="S29" s="132">
        <f t="shared" si="2"/>
      </c>
      <c r="T29" s="133">
        <f aca="true" t="shared" si="6" ref="T29:T35">SUM(Q29:S29)</f>
        <v>1</v>
      </c>
      <c r="U29" s="119"/>
      <c r="V29" s="119"/>
      <c r="W29" s="119"/>
    </row>
    <row r="30" spans="1:23" s="155" customFormat="1" ht="12.75">
      <c r="A30" s="144"/>
      <c r="B30" s="145"/>
      <c r="C30" s="145"/>
      <c r="D30" s="146">
        <f>SUM(D29:D29)</f>
        <v>144</v>
      </c>
      <c r="E30" s="147"/>
      <c r="F30" s="148"/>
      <c r="G30" s="149"/>
      <c r="H30" s="150"/>
      <c r="I30" s="150"/>
      <c r="J30" s="151">
        <f>SUM(J29:J29)</f>
        <v>0</v>
      </c>
      <c r="K30" s="151">
        <f>SUM(K29:K29)</f>
        <v>0</v>
      </c>
      <c r="L30" s="152"/>
      <c r="M30" s="153"/>
      <c r="N30" s="153"/>
      <c r="O30" s="154"/>
      <c r="P30" s="147"/>
      <c r="Q30" s="132">
        <f t="shared" si="0"/>
      </c>
      <c r="R30" s="132">
        <f t="shared" si="1"/>
      </c>
      <c r="S30" s="132">
        <f t="shared" si="2"/>
      </c>
      <c r="T30" s="133">
        <f t="shared" si="6"/>
        <v>0</v>
      </c>
      <c r="U30" s="30"/>
      <c r="V30" s="30"/>
      <c r="W30" s="30"/>
    </row>
    <row r="31" spans="1:23" s="120" customFormat="1" ht="15.75" customHeight="1">
      <c r="A31" s="136">
        <v>17</v>
      </c>
      <c r="B31" s="137">
        <v>42822.333333333336</v>
      </c>
      <c r="C31" s="137">
        <v>42822.48402777778</v>
      </c>
      <c r="D31" s="138">
        <f>(C31-B31)*24</f>
        <v>3.6166666665812954</v>
      </c>
      <c r="E31" s="137" t="s">
        <v>79</v>
      </c>
      <c r="F31" s="139">
        <v>106658</v>
      </c>
      <c r="G31" s="140"/>
      <c r="H31" s="137">
        <v>42822.48402777778</v>
      </c>
      <c r="I31" s="137">
        <v>42822.50069444445</v>
      </c>
      <c r="J31" s="138">
        <f>(I31-H31)*24</f>
        <v>0.4000000000814907</v>
      </c>
      <c r="K31" s="138">
        <f>(I31-H31)*24</f>
        <v>0.4000000000814907</v>
      </c>
      <c r="L31" s="141" t="s">
        <v>22</v>
      </c>
      <c r="M31" s="142" t="s">
        <v>22</v>
      </c>
      <c r="N31" s="142" t="s">
        <v>22</v>
      </c>
      <c r="O31" s="143" t="s">
        <v>17</v>
      </c>
      <c r="P31" s="137"/>
      <c r="Q31" s="132">
        <f t="shared" si="0"/>
        <v>1</v>
      </c>
      <c r="R31" s="132">
        <f t="shared" si="1"/>
      </c>
      <c r="S31" s="132">
        <f t="shared" si="2"/>
      </c>
      <c r="T31" s="133">
        <f t="shared" si="6"/>
        <v>1</v>
      </c>
      <c r="U31" s="119"/>
      <c r="V31" s="119"/>
      <c r="W31" s="119"/>
    </row>
    <row r="32" spans="1:23" s="135" customFormat="1" ht="12.75">
      <c r="A32" s="124">
        <v>18</v>
      </c>
      <c r="B32" s="125">
        <v>42822.50069444445</v>
      </c>
      <c r="C32" s="125">
        <v>42826.228472222225</v>
      </c>
      <c r="D32" s="126">
        <f>(C32-B32)*24</f>
        <v>89.46666666667443</v>
      </c>
      <c r="E32" s="125" t="s">
        <v>80</v>
      </c>
      <c r="F32" s="127">
        <v>106661</v>
      </c>
      <c r="G32" s="128"/>
      <c r="H32" s="125">
        <v>42826.228472222225</v>
      </c>
      <c r="I32" s="125">
        <v>42826.339583333334</v>
      </c>
      <c r="J32" s="126">
        <f>(I32-H32)*24</f>
        <v>2.6666666666278616</v>
      </c>
      <c r="K32" s="126">
        <f>(I32-H32)*24</f>
        <v>2.6666666666278616</v>
      </c>
      <c r="L32" s="129" t="s">
        <v>24</v>
      </c>
      <c r="M32" s="130" t="s">
        <v>24</v>
      </c>
      <c r="N32" s="130" t="s">
        <v>24</v>
      </c>
      <c r="O32" s="131" t="s">
        <v>17</v>
      </c>
      <c r="P32" s="125"/>
      <c r="Q32" s="132">
        <f t="shared" si="0"/>
        <v>1</v>
      </c>
      <c r="R32" s="132">
        <f t="shared" si="1"/>
      </c>
      <c r="S32" s="132">
        <f t="shared" si="2"/>
      </c>
      <c r="T32" s="133">
        <f t="shared" si="6"/>
        <v>1</v>
      </c>
      <c r="U32" s="134"/>
      <c r="V32" s="134"/>
      <c r="W32" s="134"/>
    </row>
    <row r="33" spans="1:23" s="135" customFormat="1" ht="12.75">
      <c r="A33" s="136">
        <v>19</v>
      </c>
      <c r="B33" s="137">
        <v>42826.339583333334</v>
      </c>
      <c r="C33" s="137">
        <v>42828.118055555555</v>
      </c>
      <c r="D33" s="138">
        <f>(C33-B33)*24</f>
        <v>42.68333333329065</v>
      </c>
      <c r="E33" s="137" t="s">
        <v>86</v>
      </c>
      <c r="F33" s="139">
        <v>106662</v>
      </c>
      <c r="G33" s="140"/>
      <c r="H33" s="137">
        <v>42828.118055555555</v>
      </c>
      <c r="I33" s="137">
        <v>42828.149305555555</v>
      </c>
      <c r="J33" s="138">
        <f>(I33-H33)*24</f>
        <v>0.75</v>
      </c>
      <c r="K33" s="138">
        <f>(I33-H33)*24</f>
        <v>0.75</v>
      </c>
      <c r="L33" s="141" t="s">
        <v>22</v>
      </c>
      <c r="M33" s="142" t="s">
        <v>22</v>
      </c>
      <c r="N33" s="142" t="s">
        <v>22</v>
      </c>
      <c r="O33" s="143" t="s">
        <v>17</v>
      </c>
      <c r="P33" s="137"/>
      <c r="Q33" s="132">
        <f t="shared" si="0"/>
        <v>1</v>
      </c>
      <c r="R33" s="132">
        <f t="shared" si="1"/>
      </c>
      <c r="S33" s="132">
        <f t="shared" si="2"/>
      </c>
      <c r="T33" s="133">
        <f t="shared" si="6"/>
        <v>1</v>
      </c>
      <c r="U33" s="134"/>
      <c r="V33" s="134"/>
      <c r="W33" s="134"/>
    </row>
    <row r="34" spans="1:23" s="120" customFormat="1" ht="15.75" customHeight="1">
      <c r="A34" s="124">
        <v>20</v>
      </c>
      <c r="B34" s="125">
        <v>42828.149305555555</v>
      </c>
      <c r="C34" s="125">
        <v>42828.333333333336</v>
      </c>
      <c r="D34" s="156">
        <f>(C34-B34)*24</f>
        <v>4.416666666744277</v>
      </c>
      <c r="E34" s="125" t="s">
        <v>67</v>
      </c>
      <c r="F34" s="127"/>
      <c r="G34" s="128"/>
      <c r="H34" s="125"/>
      <c r="I34" s="125"/>
      <c r="J34" s="156">
        <f>(I34-H34)*24</f>
        <v>0</v>
      </c>
      <c r="K34" s="156">
        <f>(I34-H34)*24</f>
        <v>0</v>
      </c>
      <c r="L34" s="129"/>
      <c r="M34" s="130"/>
      <c r="N34" s="130"/>
      <c r="O34" s="131" t="s">
        <v>21</v>
      </c>
      <c r="P34" s="125"/>
      <c r="Q34" s="132">
        <f t="shared" si="0"/>
      </c>
      <c r="R34" s="132">
        <f t="shared" si="1"/>
        <v>1</v>
      </c>
      <c r="S34" s="132">
        <f t="shared" si="2"/>
      </c>
      <c r="T34" s="133">
        <f t="shared" si="6"/>
        <v>1</v>
      </c>
      <c r="U34" s="119"/>
      <c r="V34" s="119"/>
      <c r="W34" s="119"/>
    </row>
    <row r="35" spans="1:23" s="155" customFormat="1" ht="12.75">
      <c r="A35" s="144"/>
      <c r="B35" s="145"/>
      <c r="C35" s="145"/>
      <c r="D35" s="146">
        <f>SUM(D31:D34)</f>
        <v>140.18333333329065</v>
      </c>
      <c r="E35" s="147"/>
      <c r="F35" s="148"/>
      <c r="G35" s="149"/>
      <c r="H35" s="150"/>
      <c r="I35" s="150"/>
      <c r="J35" s="151">
        <f>SUM(J31:J34)</f>
        <v>3.8166666667093523</v>
      </c>
      <c r="K35" s="151">
        <f>SUM(K31:K34)</f>
        <v>3.8166666667093523</v>
      </c>
      <c r="L35" s="152"/>
      <c r="M35" s="153"/>
      <c r="N35" s="153"/>
      <c r="O35" s="154"/>
      <c r="P35" s="147"/>
      <c r="Q35" s="132">
        <f t="shared" si="0"/>
      </c>
      <c r="R35" s="132">
        <f t="shared" si="1"/>
      </c>
      <c r="S35" s="132">
        <f t="shared" si="2"/>
      </c>
      <c r="T35" s="133">
        <f t="shared" si="6"/>
        <v>0</v>
      </c>
      <c r="U35" s="30"/>
      <c r="V35" s="30"/>
      <c r="W35" s="30"/>
    </row>
    <row r="36" spans="1:23" s="120" customFormat="1" ht="15.75" customHeight="1">
      <c r="A36" s="124">
        <v>21</v>
      </c>
      <c r="B36" s="125">
        <v>42829.333333333336</v>
      </c>
      <c r="C36" s="125">
        <v>42835.333333333336</v>
      </c>
      <c r="D36" s="156">
        <f>(C36-B36)*24</f>
        <v>144</v>
      </c>
      <c r="E36" s="125" t="s">
        <v>67</v>
      </c>
      <c r="F36" s="127"/>
      <c r="G36" s="128"/>
      <c r="H36" s="125"/>
      <c r="I36" s="125"/>
      <c r="J36" s="156">
        <f>(I36-H36)*24</f>
        <v>0</v>
      </c>
      <c r="K36" s="156">
        <f>(I36-H36)*24</f>
        <v>0</v>
      </c>
      <c r="L36" s="129"/>
      <c r="M36" s="130"/>
      <c r="N36" s="130"/>
      <c r="O36" s="131" t="s">
        <v>21</v>
      </c>
      <c r="P36" s="125"/>
      <c r="Q36" s="132">
        <f t="shared" si="0"/>
      </c>
      <c r="R36" s="132">
        <f t="shared" si="1"/>
        <v>1</v>
      </c>
      <c r="S36" s="132">
        <f t="shared" si="2"/>
      </c>
      <c r="T36" s="133">
        <f aca="true" t="shared" si="7" ref="T36:T42">SUM(Q36:S36)</f>
        <v>1</v>
      </c>
      <c r="U36" s="119"/>
      <c r="V36" s="119"/>
      <c r="W36" s="119"/>
    </row>
    <row r="37" spans="1:23" s="155" customFormat="1" ht="12.75">
      <c r="A37" s="144"/>
      <c r="B37" s="145"/>
      <c r="C37" s="145"/>
      <c r="D37" s="146">
        <f>SUM(D36:D36)</f>
        <v>144</v>
      </c>
      <c r="E37" s="147"/>
      <c r="F37" s="148"/>
      <c r="G37" s="149"/>
      <c r="H37" s="150"/>
      <c r="I37" s="150"/>
      <c r="J37" s="151">
        <f>SUM(J36:J36)</f>
        <v>0</v>
      </c>
      <c r="K37" s="151">
        <f>SUM(K36:K36)</f>
        <v>0</v>
      </c>
      <c r="L37" s="152"/>
      <c r="M37" s="153"/>
      <c r="N37" s="153"/>
      <c r="O37" s="154"/>
      <c r="P37" s="147"/>
      <c r="Q37" s="132">
        <f t="shared" si="0"/>
      </c>
      <c r="R37" s="132">
        <f t="shared" si="1"/>
      </c>
      <c r="S37" s="132">
        <f t="shared" si="2"/>
      </c>
      <c r="T37" s="133">
        <f t="shared" si="7"/>
        <v>0</v>
      </c>
      <c r="U37" s="30"/>
      <c r="V37" s="30"/>
      <c r="W37" s="30"/>
    </row>
    <row r="38" spans="1:23" s="135" customFormat="1" ht="12.75">
      <c r="A38" s="136">
        <v>22</v>
      </c>
      <c r="B38" s="137">
        <v>42836.333333333336</v>
      </c>
      <c r="C38" s="137">
        <v>42838.46805555555</v>
      </c>
      <c r="D38" s="138">
        <f>(C38-B38)*24</f>
        <v>51.2333333332208</v>
      </c>
      <c r="E38" s="137" t="s">
        <v>85</v>
      </c>
      <c r="F38" s="139">
        <v>106668</v>
      </c>
      <c r="G38" s="140"/>
      <c r="H38" s="137">
        <v>42838.46805555555</v>
      </c>
      <c r="I38" s="137">
        <v>42838.49652777778</v>
      </c>
      <c r="J38" s="138">
        <f>(I38-H38)*24</f>
        <v>0.6833333334652707</v>
      </c>
      <c r="K38" s="138">
        <f>(I38-H38)*24</f>
        <v>0.6833333334652707</v>
      </c>
      <c r="L38" s="141" t="s">
        <v>24</v>
      </c>
      <c r="M38" s="142" t="s">
        <v>24</v>
      </c>
      <c r="N38" s="142" t="s">
        <v>24</v>
      </c>
      <c r="O38" s="143" t="s">
        <v>17</v>
      </c>
      <c r="P38" s="137" t="s">
        <v>84</v>
      </c>
      <c r="Q38" s="132">
        <f t="shared" si="0"/>
        <v>1</v>
      </c>
      <c r="R38" s="132">
        <f t="shared" si="1"/>
      </c>
      <c r="S38" s="132">
        <f t="shared" si="2"/>
      </c>
      <c r="T38" s="133">
        <f t="shared" si="7"/>
        <v>1</v>
      </c>
      <c r="U38" s="134"/>
      <c r="V38" s="134"/>
      <c r="W38" s="134"/>
    </row>
    <row r="39" spans="1:23" s="120" customFormat="1" ht="15.75" customHeight="1">
      <c r="A39" s="124">
        <v>23</v>
      </c>
      <c r="B39" s="125">
        <v>42838.49652777778</v>
      </c>
      <c r="C39" s="125">
        <v>42842.333333333336</v>
      </c>
      <c r="D39" s="156">
        <f>(C39-B39)*24</f>
        <v>92.08333333331393</v>
      </c>
      <c r="E39" s="125" t="s">
        <v>67</v>
      </c>
      <c r="F39" s="127"/>
      <c r="G39" s="128"/>
      <c r="H39" s="125"/>
      <c r="I39" s="125"/>
      <c r="J39" s="156">
        <f>(I39-H39)*24</f>
        <v>0</v>
      </c>
      <c r="K39" s="156">
        <f>(I39-H39)*24</f>
        <v>0</v>
      </c>
      <c r="L39" s="129"/>
      <c r="M39" s="130"/>
      <c r="N39" s="130"/>
      <c r="O39" s="131" t="s">
        <v>21</v>
      </c>
      <c r="P39" s="125"/>
      <c r="Q39" s="132">
        <f t="shared" si="0"/>
      </c>
      <c r="R39" s="132">
        <f t="shared" si="1"/>
        <v>1</v>
      </c>
      <c r="S39" s="132">
        <f t="shared" si="2"/>
      </c>
      <c r="T39" s="133">
        <f t="shared" si="7"/>
        <v>1</v>
      </c>
      <c r="U39" s="119"/>
      <c r="V39" s="119"/>
      <c r="W39" s="119"/>
    </row>
    <row r="40" spans="1:23" s="155" customFormat="1" ht="12.75">
      <c r="A40" s="144"/>
      <c r="B40" s="145"/>
      <c r="C40" s="145"/>
      <c r="D40" s="146">
        <f>SUM(D38:D39)</f>
        <v>143.31666666653473</v>
      </c>
      <c r="E40" s="147"/>
      <c r="F40" s="148"/>
      <c r="G40" s="149"/>
      <c r="H40" s="150"/>
      <c r="I40" s="150"/>
      <c r="J40" s="151">
        <f>SUM(J38:J39)</f>
        <v>0.6833333334652707</v>
      </c>
      <c r="K40" s="151">
        <f>SUM(K38:K39)</f>
        <v>0.6833333334652707</v>
      </c>
      <c r="L40" s="152"/>
      <c r="M40" s="153"/>
      <c r="N40" s="153"/>
      <c r="O40" s="154"/>
      <c r="P40" s="147"/>
      <c r="Q40" s="132">
        <f t="shared" si="0"/>
      </c>
      <c r="R40" s="132">
        <f t="shared" si="1"/>
      </c>
      <c r="S40" s="132">
        <f t="shared" si="2"/>
      </c>
      <c r="T40" s="133">
        <f t="shared" si="7"/>
        <v>0</v>
      </c>
      <c r="U40" s="30"/>
      <c r="V40" s="30"/>
      <c r="W40" s="30"/>
    </row>
    <row r="41" spans="1:23" s="120" customFormat="1" ht="15.75" customHeight="1">
      <c r="A41" s="124">
        <v>24</v>
      </c>
      <c r="B41" s="125">
        <v>42843.333333333336</v>
      </c>
      <c r="C41" s="125">
        <v>42850</v>
      </c>
      <c r="D41" s="156">
        <f>(C41-B41)*24</f>
        <v>159.9999999999418</v>
      </c>
      <c r="E41" s="125" t="s">
        <v>67</v>
      </c>
      <c r="F41" s="127"/>
      <c r="G41" s="128"/>
      <c r="H41" s="125"/>
      <c r="I41" s="125"/>
      <c r="J41" s="156">
        <f>(I41-H41)*24</f>
        <v>0</v>
      </c>
      <c r="K41" s="156">
        <f>(I41-H41)*24</f>
        <v>0</v>
      </c>
      <c r="L41" s="129"/>
      <c r="M41" s="130"/>
      <c r="N41" s="130"/>
      <c r="O41" s="131" t="s">
        <v>21</v>
      </c>
      <c r="P41" s="125"/>
      <c r="Q41" s="132">
        <f t="shared" si="0"/>
      </c>
      <c r="R41" s="132">
        <f t="shared" si="1"/>
        <v>1</v>
      </c>
      <c r="S41" s="132">
        <f t="shared" si="2"/>
      </c>
      <c r="T41" s="133">
        <f t="shared" si="7"/>
        <v>1</v>
      </c>
      <c r="U41" s="119"/>
      <c r="V41" s="119"/>
      <c r="W41" s="119"/>
    </row>
    <row r="42" spans="1:23" s="155" customFormat="1" ht="12.75">
      <c r="A42" s="144"/>
      <c r="B42" s="145"/>
      <c r="C42" s="145"/>
      <c r="D42" s="146">
        <f>SUM(D41:D41)</f>
        <v>159.9999999999418</v>
      </c>
      <c r="E42" s="147"/>
      <c r="F42" s="148"/>
      <c r="G42" s="149"/>
      <c r="H42" s="150"/>
      <c r="I42" s="150"/>
      <c r="J42" s="151">
        <f>SUM(J41:J41)</f>
        <v>0</v>
      </c>
      <c r="K42" s="151">
        <f>SUM(K41:K41)</f>
        <v>0</v>
      </c>
      <c r="L42" s="152"/>
      <c r="M42" s="153"/>
      <c r="N42" s="153"/>
      <c r="O42" s="154"/>
      <c r="P42" s="147"/>
      <c r="Q42" s="132">
        <f t="shared" si="0"/>
      </c>
      <c r="R42" s="132">
        <f t="shared" si="1"/>
      </c>
      <c r="S42" s="132">
        <f t="shared" si="2"/>
      </c>
      <c r="T42" s="133">
        <f t="shared" si="7"/>
        <v>0</v>
      </c>
      <c r="U42" s="30"/>
      <c r="V42" s="30"/>
      <c r="W42" s="30"/>
    </row>
    <row r="43" spans="1:23" s="120" customFormat="1" ht="12.75">
      <c r="A43" s="108"/>
      <c r="B43" s="109"/>
      <c r="C43" s="109"/>
      <c r="D43" s="110"/>
      <c r="E43" s="111"/>
      <c r="F43" s="112"/>
      <c r="G43" s="113"/>
      <c r="H43" s="109"/>
      <c r="I43" s="109"/>
      <c r="J43" s="114"/>
      <c r="K43" s="114"/>
      <c r="L43" s="115"/>
      <c r="M43" s="116"/>
      <c r="N43" s="116"/>
      <c r="O43" s="117"/>
      <c r="P43" s="111"/>
      <c r="Q43" s="118"/>
      <c r="R43" s="118"/>
      <c r="S43" s="118"/>
      <c r="T43" s="118"/>
      <c r="U43" s="119"/>
      <c r="V43" s="119"/>
      <c r="W43" s="119"/>
    </row>
    <row r="44" spans="1:18" ht="12.75">
      <c r="A44" s="28"/>
      <c r="B44" s="14"/>
      <c r="C44" s="34" t="s">
        <v>25</v>
      </c>
      <c r="D44" s="35">
        <f>Q46</f>
        <v>12</v>
      </c>
      <c r="E44" s="16"/>
      <c r="F44" s="29"/>
      <c r="G44" s="18"/>
      <c r="H44" s="19"/>
      <c r="I44" s="19"/>
      <c r="J44" s="36" t="s">
        <v>26</v>
      </c>
      <c r="K44" s="37"/>
      <c r="L44" s="21"/>
      <c r="M44" s="22"/>
      <c r="N44" s="22"/>
      <c r="O44" s="38"/>
      <c r="P44" s="23"/>
      <c r="R44" s="12">
        <f>IF($L44="Scheduled",1,"")</f>
      </c>
    </row>
    <row r="45" spans="1:18" ht="12.75">
      <c r="A45" s="28"/>
      <c r="B45" s="14"/>
      <c r="C45" s="34" t="s">
        <v>27</v>
      </c>
      <c r="D45" s="35">
        <f>D46-D44</f>
        <v>12</v>
      </c>
      <c r="E45" s="16"/>
      <c r="F45" s="29"/>
      <c r="G45" s="18"/>
      <c r="H45" s="19"/>
      <c r="I45" s="19"/>
      <c r="J45" s="15" t="s">
        <v>28</v>
      </c>
      <c r="K45" s="39" t="s">
        <v>13</v>
      </c>
      <c r="L45" s="21"/>
      <c r="M45" s="22"/>
      <c r="N45" s="22"/>
      <c r="O45" s="38"/>
      <c r="P45" s="23"/>
      <c r="R45" s="12">
        <f>IF($L45="Scheduled",1,"")</f>
      </c>
    </row>
    <row r="46" spans="1:29" ht="13.5" thickBot="1">
      <c r="A46" s="28"/>
      <c r="B46" s="14"/>
      <c r="C46" s="34" t="s">
        <v>29</v>
      </c>
      <c r="D46" s="40">
        <f>COUNT(A6:A43)</f>
        <v>24</v>
      </c>
      <c r="E46" s="16"/>
      <c r="F46" s="29"/>
      <c r="G46" s="18"/>
      <c r="H46" s="19"/>
      <c r="I46" s="19"/>
      <c r="J46" s="41">
        <f>SUM(J6:J43)/2</f>
        <v>20.95000000001164</v>
      </c>
      <c r="K46" s="41">
        <f>SUM(K6:K43)/2</f>
        <v>20.95000000001164</v>
      </c>
      <c r="L46" s="21"/>
      <c r="M46" s="22"/>
      <c r="N46" s="22"/>
      <c r="O46" s="38"/>
      <c r="P46" s="23"/>
      <c r="Q46" s="40">
        <f>SUM(Q1:Q43)</f>
        <v>12</v>
      </c>
      <c r="R46" s="40">
        <f>SUM(R1:R43)</f>
        <v>12</v>
      </c>
      <c r="S46" s="40">
        <f>SUM(S1:S43)</f>
        <v>1</v>
      </c>
      <c r="T46" s="40">
        <f>SUM(T1:T43)</f>
        <v>25</v>
      </c>
      <c r="AA46" s="30"/>
      <c r="AB46" s="30"/>
      <c r="AC46" s="30"/>
    </row>
    <row r="47" spans="1:19" ht="13.5" thickTop="1">
      <c r="A47" s="28"/>
      <c r="B47" s="14"/>
      <c r="C47" s="34"/>
      <c r="D47" s="15"/>
      <c r="E47" s="16"/>
      <c r="F47" s="29"/>
      <c r="G47" s="18"/>
      <c r="H47" s="19"/>
      <c r="I47" s="19"/>
      <c r="J47" s="15"/>
      <c r="K47" s="20"/>
      <c r="L47" s="21"/>
      <c r="M47" s="22"/>
      <c r="N47" s="22"/>
      <c r="O47" s="21"/>
      <c r="P47" s="23"/>
      <c r="R47" s="42" t="s">
        <v>21</v>
      </c>
      <c r="S47" s="12" t="s">
        <v>30</v>
      </c>
    </row>
    <row r="48" spans="1:26" ht="12.75">
      <c r="A48" s="28"/>
      <c r="B48" s="14"/>
      <c r="C48" s="34" t="s">
        <v>31</v>
      </c>
      <c r="D48" s="15">
        <f>SUM(D6:D43)/2</f>
        <v>1698.0499999999302</v>
      </c>
      <c r="E48" s="43">
        <f>D48/24</f>
        <v>70.75208333333042</v>
      </c>
      <c r="F48" s="44" t="s">
        <v>32</v>
      </c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  <c r="T48" s="45"/>
      <c r="U48" s="30"/>
      <c r="V48" s="30"/>
      <c r="W48" s="30"/>
      <c r="X48" s="30"/>
      <c r="Y48" s="30"/>
      <c r="Z48" s="30"/>
    </row>
    <row r="49" spans="1:17" ht="12.75">
      <c r="A49" s="28"/>
      <c r="B49" s="14"/>
      <c r="C49" s="34" t="s">
        <v>33</v>
      </c>
      <c r="D49" s="15">
        <f>J46</f>
        <v>20.95000000001164</v>
      </c>
      <c r="E49" s="16" t="s">
        <v>34</v>
      </c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>
        <f>IF($O51="Store Lost",1,"")</f>
      </c>
    </row>
    <row r="50" spans="1:17" ht="12.75">
      <c r="A50" s="28"/>
      <c r="B50" s="14"/>
      <c r="C50" s="34" t="s">
        <v>35</v>
      </c>
      <c r="D50" s="40">
        <f>SUM(D48:D49)</f>
        <v>1718.9999999999418</v>
      </c>
      <c r="E50" s="43"/>
      <c r="F50" s="29"/>
      <c r="G50" s="18"/>
      <c r="H50" s="19"/>
      <c r="I50" s="19"/>
      <c r="J50" s="15"/>
      <c r="K50" s="20"/>
      <c r="L50" s="21"/>
      <c r="M50" s="22"/>
      <c r="N50" s="22"/>
      <c r="O50" s="21"/>
      <c r="P50" s="23"/>
      <c r="Q50" s="12" t="e">
        <f>IF(#REF!="Store Lost",1,"")</f>
        <v>#REF!</v>
      </c>
    </row>
    <row r="51" spans="1:18" ht="12.75">
      <c r="A51" s="28"/>
      <c r="B51" s="14"/>
      <c r="C51" s="34"/>
      <c r="D51" s="46"/>
      <c r="E51" s="47"/>
      <c r="F51" s="29"/>
      <c r="G51" s="18"/>
      <c r="H51" s="15"/>
      <c r="I51" s="19"/>
      <c r="J51" s="15"/>
      <c r="K51" s="20"/>
      <c r="L51" s="21"/>
      <c r="M51" s="22"/>
      <c r="N51" s="22"/>
      <c r="O51" s="21"/>
      <c r="P51" s="23"/>
      <c r="Q51" s="48">
        <f>Q46+R46</f>
        <v>24</v>
      </c>
      <c r="R51" s="12">
        <f>IF($P52="Store Lost",1,"")</f>
      </c>
    </row>
    <row r="52" spans="1:18" ht="12.75">
      <c r="A52" s="28"/>
      <c r="B52" s="14"/>
      <c r="C52" s="34" t="s">
        <v>36</v>
      </c>
      <c r="D52" s="49">
        <f>IF(D44,D48/D44,D48)</f>
        <v>141.50416666666084</v>
      </c>
      <c r="E52" s="16"/>
      <c r="F52" s="29"/>
      <c r="G52" s="18"/>
      <c r="J52" s="7"/>
      <c r="K52" s="50"/>
      <c r="Q52" s="23"/>
      <c r="R52" s="12">
        <f>IF($P54="Store Lost",1,"")</f>
      </c>
    </row>
    <row r="53" spans="1:18" ht="12.75">
      <c r="A53" s="28"/>
      <c r="B53" s="14"/>
      <c r="C53" s="34" t="s">
        <v>37</v>
      </c>
      <c r="D53" s="46">
        <f>IF(D44,24/D52,0)</f>
        <v>0.16960631312388438</v>
      </c>
      <c r="E53" s="51"/>
      <c r="F53" s="52"/>
      <c r="G53" s="53"/>
      <c r="K53" s="50"/>
      <c r="Q53" s="23"/>
      <c r="R53" s="12" t="e">
        <f>NA()</f>
        <v>#N/A</v>
      </c>
    </row>
    <row r="54" spans="1:18" ht="12.75">
      <c r="A54" s="28"/>
      <c r="B54" s="14"/>
      <c r="C54" s="34" t="s">
        <v>38</v>
      </c>
      <c r="D54" s="121">
        <f>D48/D50</f>
        <v>0.9878126817917322</v>
      </c>
      <c r="E54" s="54"/>
      <c r="F54" s="29"/>
      <c r="G54" s="18"/>
      <c r="K54" s="50"/>
      <c r="Q54" s="23"/>
      <c r="R54" s="12" t="e">
        <f>NA()</f>
        <v>#N/A</v>
      </c>
    </row>
    <row r="55" spans="1:29" s="55" customFormat="1" ht="12.75">
      <c r="A55" s="28"/>
      <c r="B55" s="14"/>
      <c r="C55" s="14"/>
      <c r="D55" s="15"/>
      <c r="E55" s="16"/>
      <c r="F55" s="29"/>
      <c r="G55" s="18"/>
      <c r="H55" s="7"/>
      <c r="I55" s="7"/>
      <c r="J55" s="3"/>
      <c r="K55" s="50"/>
      <c r="L55" s="9"/>
      <c r="M55" s="10"/>
      <c r="N55" s="10"/>
      <c r="O55" s="9"/>
      <c r="P55" s="11"/>
      <c r="Q55" s="23"/>
      <c r="R55" s="12">
        <f aca="true" t="shared" si="8" ref="R55:R63">IF($P57="Store Lost",1,"")</f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18" ht="12.75">
      <c r="A56" s="28"/>
      <c r="B56" s="14"/>
      <c r="C56" s="14"/>
      <c r="D56" s="15"/>
      <c r="E56" s="16"/>
      <c r="F56" s="29"/>
      <c r="G56" s="18"/>
      <c r="K56" s="50"/>
      <c r="Q56" s="23"/>
      <c r="R56" s="12">
        <f t="shared" si="8"/>
      </c>
    </row>
    <row r="57" spans="1:18" ht="12.75">
      <c r="A57" s="28"/>
      <c r="B57" s="14"/>
      <c r="C57" s="14"/>
      <c r="D57" s="15"/>
      <c r="E57" s="16"/>
      <c r="F57" s="29"/>
      <c r="G57" s="18"/>
      <c r="K57" s="50"/>
      <c r="Q57" s="23"/>
      <c r="R57" s="12">
        <f t="shared" si="8"/>
      </c>
    </row>
    <row r="58" spans="1:18" ht="12.75">
      <c r="A58" s="28"/>
      <c r="B58" s="14"/>
      <c r="C58" s="14"/>
      <c r="D58" s="15"/>
      <c r="E58" s="16"/>
      <c r="F58" s="29"/>
      <c r="G58" s="18"/>
      <c r="K58" s="50"/>
      <c r="Q58" s="23"/>
      <c r="R58" s="12">
        <f t="shared" si="8"/>
      </c>
    </row>
    <row r="59" spans="1:18" ht="12.75">
      <c r="A59" s="28"/>
      <c r="B59" s="14"/>
      <c r="C59" s="14"/>
      <c r="D59" s="15"/>
      <c r="E59" s="16"/>
      <c r="F59" s="29"/>
      <c r="G59" s="18"/>
      <c r="K59" s="50"/>
      <c r="Q59" s="23"/>
      <c r="R59" s="12">
        <f t="shared" si="8"/>
      </c>
    </row>
    <row r="60" spans="1:18" ht="12.75">
      <c r="A60" s="28"/>
      <c r="B60" s="14"/>
      <c r="C60" s="14"/>
      <c r="D60" s="15"/>
      <c r="E60" s="16"/>
      <c r="F60" s="29"/>
      <c r="G60" s="18"/>
      <c r="K60" s="50"/>
      <c r="Q60" s="23"/>
      <c r="R60" s="12">
        <f t="shared" si="8"/>
      </c>
    </row>
    <row r="61" spans="1:18" ht="12.75">
      <c r="A61" s="28"/>
      <c r="B61" s="14"/>
      <c r="C61" s="14"/>
      <c r="D61" s="15"/>
      <c r="E61" s="16"/>
      <c r="F61" s="29"/>
      <c r="G61" s="18"/>
      <c r="K61" s="50"/>
      <c r="Q61" s="23"/>
      <c r="R61" s="12">
        <f t="shared" si="8"/>
      </c>
    </row>
    <row r="62" spans="1:18" ht="12.75">
      <c r="A62" s="28"/>
      <c r="B62" s="14"/>
      <c r="C62" s="14"/>
      <c r="D62" s="15"/>
      <c r="E62" s="16"/>
      <c r="F62" s="29"/>
      <c r="G62" s="18"/>
      <c r="K62" s="50"/>
      <c r="Q62" s="23"/>
      <c r="R62" s="12">
        <f t="shared" si="8"/>
      </c>
    </row>
    <row r="63" spans="1:18" ht="12.75">
      <c r="A63" s="28"/>
      <c r="B63" s="14"/>
      <c r="C63" s="14"/>
      <c r="D63" s="15"/>
      <c r="E63" s="16"/>
      <c r="F63" s="29"/>
      <c r="G63" s="18"/>
      <c r="K63" s="50"/>
      <c r="Q63" s="23"/>
      <c r="R63" s="12">
        <f t="shared" si="8"/>
      </c>
    </row>
    <row r="64" spans="1:29" s="56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50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0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5"/>
      <c r="AB65" s="55"/>
      <c r="AC65" s="55"/>
    </row>
    <row r="66" spans="1:16" ht="12.75">
      <c r="A66" s="28"/>
      <c r="B66" s="14"/>
      <c r="C66" s="14"/>
      <c r="D66" s="15"/>
      <c r="E66" s="16"/>
      <c r="F66" s="29"/>
      <c r="G66" s="18"/>
      <c r="H66" s="19"/>
      <c r="I66" s="19"/>
      <c r="J66" s="15"/>
      <c r="K66" s="20"/>
      <c r="L66" s="21"/>
      <c r="M66" s="22"/>
      <c r="N66" s="22"/>
      <c r="O66" s="21"/>
      <c r="P66" s="23"/>
    </row>
    <row r="67" spans="1:2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  <c r="U67" s="55"/>
      <c r="V67" s="55"/>
      <c r="W67" s="55"/>
      <c r="X67" s="55"/>
      <c r="Y67" s="55"/>
      <c r="Z67" s="55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</row>
    <row r="71" spans="1:20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  <c r="R71" s="55"/>
      <c r="S71" s="55"/>
      <c r="T71" s="55"/>
    </row>
    <row r="72" spans="2:16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2:17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aca="true" t="shared" si="9" ref="Q73:Q104">IF($O75="Store Lost",1,"")</f>
      </c>
    </row>
    <row r="74" spans="2:29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t="shared" si="9"/>
      </c>
      <c r="AA74" s="56"/>
      <c r="AB74" s="56"/>
      <c r="AC74" s="56"/>
    </row>
    <row r="75" spans="2:29" ht="12.75">
      <c r="B75" s="14"/>
      <c r="C75" s="14"/>
      <c r="Q75" s="12">
        <f t="shared" si="9"/>
      </c>
      <c r="AA75" s="30"/>
      <c r="AB75" s="30"/>
      <c r="AC75" s="30"/>
    </row>
    <row r="76" spans="17:26" ht="12.75">
      <c r="Q76" s="12">
        <f t="shared" si="9"/>
      </c>
      <c r="U76" s="56"/>
      <c r="V76" s="56"/>
      <c r="W76" s="56"/>
      <c r="X76" s="56"/>
      <c r="Y76" s="56"/>
      <c r="Z76" s="56"/>
    </row>
    <row r="77" spans="17:26" ht="12.75">
      <c r="Q77" s="12">
        <f t="shared" si="9"/>
      </c>
      <c r="U77" s="30"/>
      <c r="V77" s="30"/>
      <c r="W77" s="30"/>
      <c r="X77" s="30"/>
      <c r="Y77" s="30"/>
      <c r="Z77" s="30"/>
    </row>
    <row r="78" spans="1:29" s="55" customFormat="1" ht="12.75">
      <c r="A78" s="1"/>
      <c r="B78" s="2"/>
      <c r="C78" s="2"/>
      <c r="D78" s="3"/>
      <c r="E78" s="4"/>
      <c r="F78" s="5"/>
      <c r="G78" s="6"/>
      <c r="H78" s="7"/>
      <c r="I78" s="7"/>
      <c r="J78" s="3"/>
      <c r="K78" s="8"/>
      <c r="L78" s="9"/>
      <c r="M78" s="10"/>
      <c r="N78" s="10"/>
      <c r="O78" s="9"/>
      <c r="P78" s="11"/>
      <c r="Q78" s="12">
        <f t="shared" si="9"/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Q79" s="12">
        <f t="shared" si="9"/>
      </c>
    </row>
    <row r="80" spans="17:20" ht="12.75">
      <c r="Q80" s="12">
        <f t="shared" si="9"/>
      </c>
      <c r="R80" s="56"/>
      <c r="S80" s="56"/>
      <c r="T80" s="56"/>
    </row>
    <row r="81" spans="17:20" ht="12.75">
      <c r="Q81" s="12">
        <f t="shared" si="9"/>
      </c>
      <c r="R81" s="30"/>
      <c r="S81" s="30"/>
      <c r="T81" s="30"/>
    </row>
    <row r="82" ht="12.75">
      <c r="Q82" s="12">
        <f t="shared" si="9"/>
      </c>
    </row>
    <row r="83" ht="12.75">
      <c r="Q83" s="12">
        <f t="shared" si="9"/>
      </c>
    </row>
    <row r="84" ht="12.75">
      <c r="Q84" s="12">
        <f t="shared" si="9"/>
      </c>
    </row>
    <row r="85" ht="12.75">
      <c r="Q85" s="12">
        <f t="shared" si="9"/>
      </c>
    </row>
    <row r="86" ht="12.75">
      <c r="Q86" s="12">
        <f t="shared" si="9"/>
      </c>
    </row>
    <row r="87" ht="12.75">
      <c r="Q87" s="12">
        <f t="shared" si="9"/>
      </c>
    </row>
    <row r="88" spans="17:29" ht="12.75">
      <c r="Q88" s="12">
        <f t="shared" si="9"/>
      </c>
      <c r="AA88" s="55"/>
      <c r="AB88" s="55"/>
      <c r="AC88" s="55"/>
    </row>
    <row r="89" ht="12.75">
      <c r="Q89" s="12">
        <f t="shared" si="9"/>
      </c>
    </row>
    <row r="90" spans="17:26" ht="12.75">
      <c r="Q90" s="12">
        <f t="shared" si="9"/>
      </c>
      <c r="U90" s="55"/>
      <c r="V90" s="55"/>
      <c r="W90" s="55"/>
      <c r="X90" s="55"/>
      <c r="Y90" s="55"/>
      <c r="Z90" s="55"/>
    </row>
    <row r="91" spans="1:29" s="55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9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9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55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9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7:20" ht="12.75">
      <c r="Q94" s="12">
        <f t="shared" si="9"/>
      </c>
      <c r="R94" s="55"/>
      <c r="S94" s="55"/>
      <c r="T94" s="55"/>
    </row>
    <row r="95" ht="12.75">
      <c r="Q95" s="12">
        <f t="shared" si="9"/>
      </c>
    </row>
    <row r="96" ht="12.75">
      <c r="Q96" s="12">
        <f t="shared" si="9"/>
      </c>
    </row>
    <row r="97" ht="12.75">
      <c r="Q97" s="12">
        <f t="shared" si="9"/>
      </c>
    </row>
    <row r="98" ht="12.75">
      <c r="Q98" s="12">
        <f t="shared" si="9"/>
      </c>
    </row>
    <row r="99" ht="12.75">
      <c r="Q99" s="12">
        <f t="shared" si="9"/>
      </c>
    </row>
    <row r="100" ht="12.75">
      <c r="Q100" s="12">
        <f t="shared" si="9"/>
      </c>
    </row>
    <row r="101" spans="17:29" ht="12.75">
      <c r="Q101" s="12">
        <f t="shared" si="9"/>
      </c>
      <c r="AA101" s="55"/>
      <c r="AB101" s="55"/>
      <c r="AC101" s="55"/>
    </row>
    <row r="102" spans="17:29" ht="12.75">
      <c r="Q102" s="12">
        <f t="shared" si="9"/>
      </c>
      <c r="AA102" s="30"/>
      <c r="AB102" s="30"/>
      <c r="AC102" s="30"/>
    </row>
    <row r="103" spans="17:29" ht="12.75">
      <c r="Q103" s="12">
        <f t="shared" si="9"/>
      </c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7:26" ht="12.75">
      <c r="Q104" s="12">
        <f t="shared" si="9"/>
      </c>
      <c r="U104" s="30"/>
      <c r="V104" s="30"/>
      <c r="W104" s="30"/>
      <c r="X104" s="30"/>
      <c r="Y104" s="30"/>
      <c r="Z104" s="30"/>
    </row>
    <row r="105" spans="17:26" ht="12.75">
      <c r="Q105" s="12">
        <f aca="true" t="shared" si="10" ref="Q105:Q130">IF($O107="Store Lost",1,"")</f>
      </c>
      <c r="U105" s="55"/>
      <c r="V105" s="55"/>
      <c r="W105" s="55"/>
      <c r="X105" s="55"/>
      <c r="Y105" s="55"/>
      <c r="Z105" s="55"/>
    </row>
    <row r="106" ht="12.75">
      <c r="Q106" s="12">
        <f t="shared" si="10"/>
      </c>
    </row>
    <row r="107" spans="17:20" ht="12.75">
      <c r="Q107" s="12">
        <f t="shared" si="10"/>
      </c>
      <c r="R107" s="55"/>
      <c r="S107" s="55"/>
      <c r="T107" s="55"/>
    </row>
    <row r="108" spans="17:20" ht="12.75">
      <c r="Q108" s="12">
        <f t="shared" si="10"/>
      </c>
      <c r="R108" s="30"/>
      <c r="S108" s="30"/>
      <c r="T108" s="30"/>
    </row>
    <row r="109" spans="17:20" ht="12.75">
      <c r="Q109" s="12">
        <f t="shared" si="10"/>
      </c>
      <c r="R109" s="55"/>
      <c r="S109" s="55"/>
      <c r="T109" s="55"/>
    </row>
    <row r="110" ht="12.75">
      <c r="Q110" s="12">
        <f t="shared" si="10"/>
      </c>
    </row>
    <row r="111" ht="12.75">
      <c r="Q111" s="12">
        <f t="shared" si="10"/>
      </c>
    </row>
    <row r="112" ht="12.75">
      <c r="Q112" s="12">
        <f t="shared" si="10"/>
      </c>
    </row>
    <row r="113" ht="12.75">
      <c r="Q113" s="12">
        <f t="shared" si="10"/>
      </c>
    </row>
    <row r="114" spans="1:29" s="55" customFormat="1" ht="12.75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>
        <f t="shared" si="10"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Q115" s="12">
        <f t="shared" si="10"/>
      </c>
    </row>
    <row r="116" ht="12.75">
      <c r="Q116" s="12">
        <f t="shared" si="10"/>
      </c>
    </row>
    <row r="117" ht="12.75">
      <c r="Q117" s="12">
        <f t="shared" si="10"/>
      </c>
    </row>
    <row r="118" ht="12.75">
      <c r="Q118" s="12">
        <f t="shared" si="10"/>
      </c>
    </row>
    <row r="119" ht="12.75">
      <c r="Q119" s="12">
        <f t="shared" si="10"/>
      </c>
    </row>
    <row r="120" ht="12.75">
      <c r="Q120" s="12">
        <f t="shared" si="10"/>
      </c>
    </row>
    <row r="121" ht="12.75">
      <c r="Q121" s="12">
        <f t="shared" si="10"/>
      </c>
    </row>
    <row r="122" ht="12.75">
      <c r="Q122" s="12">
        <f t="shared" si="10"/>
      </c>
    </row>
    <row r="123" ht="12.75">
      <c r="Q123" s="12">
        <f t="shared" si="10"/>
      </c>
    </row>
    <row r="124" spans="17:29" ht="12.75">
      <c r="Q124" s="12">
        <f t="shared" si="10"/>
      </c>
      <c r="AA124" s="55"/>
      <c r="AB124" s="55"/>
      <c r="AC124" s="55"/>
    </row>
    <row r="125" ht="12.75">
      <c r="Q125" s="12">
        <f t="shared" si="10"/>
      </c>
    </row>
    <row r="126" spans="17:26" ht="12.75">
      <c r="Q126" s="12">
        <f t="shared" si="10"/>
      </c>
      <c r="U126" s="55"/>
      <c r="V126" s="55"/>
      <c r="W126" s="55"/>
      <c r="X126" s="55"/>
      <c r="Y126" s="55"/>
      <c r="Z126" s="55"/>
    </row>
    <row r="127" ht="12.75">
      <c r="Q127" s="12">
        <f t="shared" si="10"/>
      </c>
    </row>
    <row r="128" ht="12.75">
      <c r="Q128" s="12">
        <f t="shared" si="10"/>
      </c>
    </row>
    <row r="129" ht="12.75">
      <c r="Q129" s="12">
        <f t="shared" si="10"/>
      </c>
    </row>
    <row r="130" spans="17:20" ht="12.75">
      <c r="Q130" s="12">
        <f t="shared" si="10"/>
      </c>
      <c r="R130" s="55"/>
      <c r="S130" s="55"/>
      <c r="T130" s="55"/>
    </row>
    <row r="134" ht="12.75">
      <c r="Q134" s="12">
        <f>COUNT(Q43:Q130)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zoomScalePageLayoutView="0" workbookViewId="0" topLeftCell="A2">
      <selection activeCell="A9" sqref="A9"/>
    </sheetView>
  </sheetViews>
  <sheetFormatPr defaultColWidth="9.140625" defaultRowHeight="12.75"/>
  <cols>
    <col min="1" max="1" width="21.8515625" style="0" customWidth="1"/>
    <col min="2" max="5" width="12.00390625" style="0" customWidth="1"/>
    <col min="6" max="7" width="10.57421875" style="0" customWidth="1"/>
    <col min="8" max="8" width="12.00390625" style="0" customWidth="1"/>
    <col min="9" max="9" width="10.57421875" style="0" customWidth="1"/>
    <col min="10" max="11" width="12.00390625" style="0" customWidth="1"/>
    <col min="12" max="12" width="10.574218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6" ht="12.75">
      <c r="A3" s="79"/>
      <c r="B3" s="82" t="s">
        <v>14</v>
      </c>
      <c r="C3" s="81"/>
      <c r="D3" s="81"/>
      <c r="E3" s="81"/>
      <c r="F3" s="83"/>
    </row>
    <row r="4" spans="1:6" ht="12.75">
      <c r="A4" s="82" t="s">
        <v>39</v>
      </c>
      <c r="B4" s="79" t="s">
        <v>22</v>
      </c>
      <c r="C4" s="84" t="s">
        <v>24</v>
      </c>
      <c r="D4" s="84" t="s">
        <v>65</v>
      </c>
      <c r="E4" s="84" t="s">
        <v>75</v>
      </c>
      <c r="F4" s="85" t="s">
        <v>59</v>
      </c>
    </row>
    <row r="5" spans="1:6" ht="12.75">
      <c r="A5" s="79" t="s">
        <v>40</v>
      </c>
      <c r="B5" s="86">
        <v>0</v>
      </c>
      <c r="C5" s="87">
        <v>0</v>
      </c>
      <c r="D5" s="87">
        <v>1</v>
      </c>
      <c r="E5" s="87">
        <v>0</v>
      </c>
      <c r="F5" s="88">
        <v>1</v>
      </c>
    </row>
    <row r="6" spans="1:6" ht="12.75">
      <c r="A6" s="90" t="s">
        <v>41</v>
      </c>
      <c r="B6" s="91">
        <v>5</v>
      </c>
      <c r="C6" s="70">
        <v>6</v>
      </c>
      <c r="D6" s="70">
        <v>0</v>
      </c>
      <c r="E6" s="70">
        <v>1</v>
      </c>
      <c r="F6" s="92">
        <v>12</v>
      </c>
    </row>
    <row r="7" spans="1:6" ht="12.75">
      <c r="A7" s="97" t="s">
        <v>68</v>
      </c>
      <c r="B7" s="158">
        <v>12.56666666676756</v>
      </c>
      <c r="C7" s="157">
        <v>6.950000000128057</v>
      </c>
      <c r="D7" s="157">
        <v>0.8833333332440816</v>
      </c>
      <c r="E7" s="157">
        <v>0.5499999998719431</v>
      </c>
      <c r="F7" s="98">
        <v>20.95000000001164</v>
      </c>
    </row>
    <row r="13" spans="2:20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58" t="s">
        <v>51</v>
      </c>
      <c r="L13" s="58" t="s">
        <v>52</v>
      </c>
      <c r="M13" s="58" t="s">
        <v>53</v>
      </c>
      <c r="N13" s="58" t="s">
        <v>54</v>
      </c>
      <c r="O13" s="58" t="s">
        <v>55</v>
      </c>
      <c r="P13" s="58" t="s">
        <v>56</v>
      </c>
      <c r="Q13" s="59" t="s">
        <v>57</v>
      </c>
      <c r="R13" s="60" t="s">
        <v>58</v>
      </c>
      <c r="S13" s="60" t="s">
        <v>59</v>
      </c>
      <c r="T13" s="61" t="s">
        <v>60</v>
      </c>
    </row>
    <row r="14" spans="1:20" s="65" customFormat="1" ht="12.75">
      <c r="A14" s="122" t="s">
        <v>76</v>
      </c>
      <c r="B14" s="160">
        <f>IF(B16,SUM(B16/B25),"")</f>
      </c>
      <c r="C14" s="160">
        <f>IF(C16,SUM(C16/B25),"")</f>
      </c>
      <c r="D14" s="160">
        <f>IF(D16,SUM(D16/B25),"")</f>
        <v>0.007310451813128555</v>
      </c>
      <c r="E14" s="160">
        <f>IF(E16,SUM(E16/B25),"")</f>
      </c>
      <c r="F14" s="160">
        <f>IF(F16,SUM(F16/B25),"")</f>
      </c>
      <c r="G14" s="160">
        <f>IF(G16,SUM(G16/B25),"")</f>
      </c>
      <c r="H14" s="160">
        <f>IF(H16,SUM(H16/B25),"")</f>
      </c>
      <c r="I14" s="160">
        <f>IF(I16,SUM(I16/B25),"")</f>
        <v>0.0040430482839606124</v>
      </c>
      <c r="J14" s="160">
        <f>IF(J16,SUM(J16/B25),"")</f>
        <v>0.0005138646499384011</v>
      </c>
      <c r="K14" s="160">
        <f>IF(K16,SUM(K16/D25),"")</f>
      </c>
      <c r="L14" s="160">
        <f>IF(L16,SUM(L16/E25),"")</f>
      </c>
      <c r="M14" s="160">
        <f>IF(M16,SUM(M16/B25),"")</f>
      </c>
      <c r="N14" s="160">
        <f>IF(N16,SUM(N16/B25),"")</f>
        <v>0.0003199534612402337</v>
      </c>
      <c r="O14" s="160">
        <f>IF(P16,SUM(P16/C25),"")</f>
      </c>
      <c r="P14" s="160">
        <f>IF(P16,SUM(P16/B25),"")</f>
      </c>
      <c r="Q14" s="63">
        <f>IF(Q16,SUM(Q16/B25),"")</f>
      </c>
      <c r="R14" s="63">
        <f>IF(R16,SUM(R16/B25),"")</f>
        <v>0.0002423889858219172</v>
      </c>
      <c r="S14" s="63">
        <f>IF(S16,SUM(S16/B25),"")</f>
        <v>0.012187318208267801</v>
      </c>
      <c r="T14" s="64">
        <f>IF(T16,SUM(T16/M13),"")</f>
      </c>
    </row>
    <row r="15" spans="1:20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'[1]reliabilitySummary'!$B$19</f>
        <v>0</v>
      </c>
      <c r="L15" s="66">
        <f>'[1]reliabilitySummary'!$B$20</f>
        <v>0.0006000000000000001</v>
      </c>
      <c r="M15" s="66">
        <f>'[1]reliabilitySummary'!$B$24</f>
        <v>0.0006000000000000001</v>
      </c>
      <c r="N15" s="66">
        <f>'[1]reliabilitySummary'!$B$25</f>
        <v>0.0018000000000000002</v>
      </c>
      <c r="O15" s="66">
        <f>'[1]reliabilitySummary'!$B$26</f>
        <v>0.0006000000000000001</v>
      </c>
      <c r="P15" s="66">
        <f>'[1]reliabilitySummary'!$B$27</f>
        <v>0.0018000000000000002</v>
      </c>
      <c r="Q15" s="66">
        <f>'[1]reliabilitySummary'!$B$11</f>
        <v>0.0012000000000000001</v>
      </c>
      <c r="R15" s="66">
        <f>'[1]reliabilitySummary'!$B$28</f>
        <v>0.0006000000000000001</v>
      </c>
      <c r="S15" s="66">
        <v>0.03</v>
      </c>
      <c r="T15" s="67"/>
    </row>
    <row r="16" spans="1:20" s="65" customFormat="1" ht="12.75">
      <c r="A16" s="62" t="s">
        <v>62</v>
      </c>
      <c r="B16" s="159"/>
      <c r="C16" s="157"/>
      <c r="D16" s="162">
        <f>GETPIVOTDATA("Sum of System 
Length",$A$3,"Group","PS")</f>
        <v>12.56666666676756</v>
      </c>
      <c r="E16" s="161"/>
      <c r="F16" s="157"/>
      <c r="G16" s="161"/>
      <c r="H16" s="161"/>
      <c r="I16" s="157">
        <f>GETPIVOTDATA("Sum of System 
Length",$A$3,"Group","MOM")</f>
        <v>6.950000000128057</v>
      </c>
      <c r="J16" s="157">
        <f>GETPIVOTDATA("Sum of System 
Length",$A$3,"Group","AOP")</f>
        <v>0.8833333332440816</v>
      </c>
      <c r="K16" s="161"/>
      <c r="M16" s="161"/>
      <c r="N16" s="157">
        <f>GETPIVOTDATA("Sum of System 
Length",$A$3,"Group","ComEd")</f>
        <v>0.5499999998719431</v>
      </c>
      <c r="O16" s="161"/>
      <c r="P16" s="161"/>
      <c r="Q16" s="161"/>
      <c r="R16" s="157">
        <v>0.41666666662786156</v>
      </c>
      <c r="S16" s="68">
        <f>'Main Data'!J46</f>
        <v>20.95000000001164</v>
      </c>
      <c r="T16" s="69"/>
    </row>
    <row r="17" spans="1:19" ht="12.75">
      <c r="A17" s="71" t="s">
        <v>63</v>
      </c>
      <c r="D17">
        <f>GETPIVOTDATA("Sum - Store Lost",$A$3,"Group","PS")</f>
        <v>5</v>
      </c>
      <c r="I17">
        <f>GETPIVOTDATA("Sum - Store Lost",$A$3,"Group","MOM")</f>
        <v>6</v>
      </c>
      <c r="J17">
        <f>GETPIVOTDATA("Sum - Store Lost",$A$3,"Group","AOP")</f>
        <v>0</v>
      </c>
      <c r="N17">
        <f>GETPIVOTDATA("Sum - Store Lost",$A$3,"Group","ComEd")</f>
        <v>1</v>
      </c>
      <c r="S17" s="68">
        <f>SUM(B17:R17)</f>
        <v>12</v>
      </c>
    </row>
    <row r="18" spans="1:19" ht="12.75">
      <c r="A18" s="71"/>
      <c r="B18" s="70"/>
      <c r="C18" s="70"/>
      <c r="D18" s="70"/>
      <c r="E18" s="70"/>
      <c r="G18" s="70"/>
      <c r="H18" s="70"/>
      <c r="I18" s="70"/>
      <c r="M18" s="70"/>
      <c r="O18" s="70"/>
      <c r="S18" s="68"/>
    </row>
    <row r="19" spans="1:19" ht="13.5" thickBot="1">
      <c r="A19" s="71"/>
      <c r="B19" s="161"/>
      <c r="C19" s="70"/>
      <c r="D19" s="70"/>
      <c r="E19" s="70"/>
      <c r="G19" s="70"/>
      <c r="H19" s="70"/>
      <c r="I19" s="70"/>
      <c r="M19" s="70"/>
      <c r="O19" s="70"/>
      <c r="S19" s="68"/>
    </row>
    <row r="20" spans="2:19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 t="s">
        <v>51</v>
      </c>
      <c r="L20" s="58" t="s">
        <v>52</v>
      </c>
      <c r="M20" s="58" t="s">
        <v>53</v>
      </c>
      <c r="N20" s="58" t="s">
        <v>54</v>
      </c>
      <c r="O20" s="58" t="s">
        <v>55</v>
      </c>
      <c r="P20" s="58" t="s">
        <v>56</v>
      </c>
      <c r="Q20" s="59" t="s">
        <v>57</v>
      </c>
      <c r="R20" s="60" t="s">
        <v>58</v>
      </c>
      <c r="S20" s="68"/>
    </row>
    <row r="21" spans="1:19" ht="12.75">
      <c r="A21" s="122" t="s">
        <v>76</v>
      </c>
      <c r="B21" s="72">
        <f aca="true" t="shared" si="0" ref="B21:I21">B17/($B24/24)</f>
        <v>0</v>
      </c>
      <c r="C21" s="73">
        <f t="shared" si="0"/>
        <v>0</v>
      </c>
      <c r="D21" s="73">
        <f t="shared" si="0"/>
        <v>0.07066929713495182</v>
      </c>
      <c r="E21" s="73">
        <f t="shared" si="0"/>
        <v>0</v>
      </c>
      <c r="F21" s="72">
        <f t="shared" si="0"/>
        <v>0</v>
      </c>
      <c r="G21" s="72">
        <f t="shared" si="0"/>
        <v>0</v>
      </c>
      <c r="H21" s="72">
        <f t="shared" si="0"/>
        <v>0</v>
      </c>
      <c r="I21" s="72">
        <f t="shared" si="0"/>
        <v>0.08480315656194219</v>
      </c>
      <c r="J21" s="73">
        <f>J17/($B24/24)</f>
        <v>0</v>
      </c>
      <c r="K21" s="73">
        <f>K17/($B24/24)</f>
        <v>0</v>
      </c>
      <c r="L21" s="72">
        <f>L17/($B24/24)</f>
        <v>0</v>
      </c>
      <c r="M21" s="73"/>
      <c r="N21" s="72">
        <f aca="true" t="shared" si="1" ref="N21:S21">N17/($B24/24)</f>
        <v>0.014133859426990365</v>
      </c>
      <c r="O21" s="72">
        <f t="shared" si="1"/>
        <v>0</v>
      </c>
      <c r="P21" s="73">
        <f>M17/($B24/24)</f>
        <v>0</v>
      </c>
      <c r="Q21" s="72">
        <f t="shared" si="1"/>
        <v>0</v>
      </c>
      <c r="R21" s="72">
        <f t="shared" si="1"/>
        <v>0</v>
      </c>
      <c r="S21" s="72">
        <f t="shared" si="1"/>
        <v>0.16960631312388438</v>
      </c>
    </row>
    <row r="22" spans="1:20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6">
        <v>0</v>
      </c>
      <c r="L22" s="76">
        <v>0.01</v>
      </c>
      <c r="M22" s="76">
        <v>0.01</v>
      </c>
      <c r="N22" s="76">
        <v>0.01</v>
      </c>
      <c r="O22" s="76">
        <v>0.01</v>
      </c>
      <c r="P22" s="76">
        <v>0.02</v>
      </c>
      <c r="Q22" s="76">
        <v>0.01</v>
      </c>
      <c r="R22" s="76">
        <v>0.02</v>
      </c>
      <c r="S22" s="76">
        <f>SUM(B22:R22)</f>
        <v>0.5950000000000001</v>
      </c>
      <c r="T22" s="77"/>
    </row>
    <row r="24" spans="1:2" ht="12.75">
      <c r="A24" s="34" t="s">
        <v>31</v>
      </c>
      <c r="B24" s="65">
        <f>'Main Data'!D48</f>
        <v>1698.0499999999302</v>
      </c>
    </row>
    <row r="25" spans="1:2" ht="12.75">
      <c r="A25" s="78" t="s">
        <v>35</v>
      </c>
      <c r="B25" s="76">
        <f>'Main Data'!D50</f>
        <v>1718.9999999999418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3">
        <v>0</v>
      </c>
      <c r="E43" s="123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">
      <selection activeCell="A33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E44">
      <selection activeCell="E44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2017-04-26T12:55:37Z</cp:lastPrinted>
  <dcterms:created xsi:type="dcterms:W3CDTF">1998-01-15T00:06:45Z</dcterms:created>
  <dcterms:modified xsi:type="dcterms:W3CDTF">2017-04-26T12:57:58Z</dcterms:modified>
  <cp:category/>
  <cp:version/>
  <cp:contentType/>
  <cp:contentStatus/>
  <cp:revision>5</cp:revision>
</cp:coreProperties>
</file>