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386" windowWidth="14430" windowHeight="1362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Data'!$A$2:$P$52</definedName>
    <definedName name="Excel_BuiltIn_Print_Area_1_1_1">'Main Data'!$A$2:$P$74</definedName>
    <definedName name="Excel_BuiltIn_Print_Area_1_1_11">'Main Data'!$A$2:$P$75</definedName>
    <definedName name="Excel_BuiltIn_Print_Area_1_1_1_1">'Main Data'!$A$2:$P$60</definedName>
    <definedName name="Excel_BuiltIn_Print_Area_41">'Faults Per Day'!$A$1:$W$67</definedName>
    <definedName name="Faults_Day_of_Delivered_Beam">'Main Data'!$D$103</definedName>
    <definedName name="Mean_Time_Between_Faults">'Main Data'!$D$102</definedName>
    <definedName name="Number_of_Fills">'Main Data'!$D$95</definedName>
    <definedName name="Number_of_Intentional_Dumps">'Main Data'!$D$94</definedName>
    <definedName name="Number_of_Lost_Fills">'Main Data'!$D$93</definedName>
    <definedName name="_xlnm.Print_Area" localSheetId="3">'Faults Per Day'!$A$1:$AC$81</definedName>
    <definedName name="_xlnm.Print_Area" localSheetId="0">'Main Data'!$A$2:$P$61</definedName>
    <definedName name="_xlnm.Print_Titles" localSheetId="0">'Main Data'!$4:$4</definedName>
    <definedName name="Refill_Time">'Main Data'!$D$1</definedName>
    <definedName name="Total_Schedule_Run_Length">'Main Data'!$D$99</definedName>
    <definedName name="Total_System_Downtime">'Main Data'!$K$95</definedName>
    <definedName name="Total_User_Beam">'Main Data'!$D$97</definedName>
    <definedName name="Total_User_Downtime">'Main Data'!$D$98</definedName>
    <definedName name="User_Beam_Days">'Main Data'!$E$97</definedName>
    <definedName name="X_ray_Availability">'Main Data'!$D$104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<sst xmlns="http://schemas.openxmlformats.org/spreadsheetml/2006/main" count="236" uniqueCount="90">
  <si>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</si>
  <si>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</si>
  <si>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</si>
  <si>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</si>
  <si>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</si>
  <si>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</si>
  <si>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</si>
  <si>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</si>
  <si>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</si>
  <si>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</si>
  <si>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</si>
  <si>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</si>
  <si>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</si>
  <si>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</si>
  <si>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</si>
  <si>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</si>
  <si>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</si>
  <si>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</si>
  <si>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</si>
  <si>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</si>
  <si>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</si>
  <si>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</si>
  <si>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</si>
  <si>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</si>
  <si>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CTL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</si>
  <si>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</si>
  <si>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</si>
  <si>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</si>
  <si>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</si>
  <si>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</si>
  <si>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</si>
  <si>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</si>
  <si>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</si>
  <si>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</si>
  <si>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</si>
  <si>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</si>
  <si>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</si>
  <si>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</si>
  <si>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</si>
  <si>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</si>
  <si>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</si>
  <si>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</si>
  <si>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</si>
  <si>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</si>
  <si>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</si>
  <si>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</si>
  <si>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</si>
  <si>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</si>
  <si>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</si>
  <si>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</si>
  <si>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</si>
  <si>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</si>
  <si>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</si>
  <si>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</si>
  <si>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</si>
  <si>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</si>
  <si>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</si>
  <si>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</si>
  <si>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</si>
  <si>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</si>
  <si>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</si>
  <si>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</si>
  <si>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</si>
  <si>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</si>
  <si>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</si>
  <si>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</si>
  <si>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SI</t>
  </si>
  <si>
    <t>Sum of System Length</t>
  </si>
  <si>
    <t>AOP</t>
  </si>
  <si>
    <t>Int Dump: End of Period</t>
  </si>
  <si>
    <t>Inhibits Beam to User</t>
  </si>
  <si>
    <t>Downtime for Run 2016-3</t>
  </si>
  <si>
    <t>Run 2016-3</t>
  </si>
  <si>
    <t>40B:V4 P.S. Glitch [PS]</t>
  </si>
  <si>
    <t>RF1/4 H2O load trip[MOM]</t>
  </si>
  <si>
    <t>MD</t>
  </si>
  <si>
    <t>RF2 wg swtch</t>
  </si>
  <si>
    <t>Gaps</t>
  </si>
  <si>
    <t xml:space="preserve"> S36 RF cavity press issues</t>
  </si>
  <si>
    <t>12ID PSS trip [SI]</t>
  </si>
  <si>
    <t>RF2 crowbar [RF]</t>
  </si>
  <si>
    <t xml:space="preserve"> S17/18 Ref.Mem. [CTL]</t>
  </si>
  <si>
    <t>12-ID taken offline, recover systems, refilled.</t>
  </si>
  <si>
    <t xml:space="preserve">Incomplete fill, difficult inj. </t>
  </si>
  <si>
    <t>22BM PSS trip[SI]</t>
  </si>
  <si>
    <t>RF3 Cath.V sag [RF]</t>
  </si>
  <si>
    <t>RF1 Crowbar [RF]</t>
  </si>
  <si>
    <t>RF1 Crwobar [RF]</t>
  </si>
  <si>
    <t>Investigation, waveguide switch, refill</t>
  </si>
  <si>
    <t>19B:Q3 P.S. fault[PS]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</si>
</sst>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1" fillId="0" borderId="22" xfId="0" applyNumberFormat="1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textRotation="90" wrapText="1"/>
    </xf>
    <xf numFmtId="165" fontId="1" fillId="0" borderId="22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0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2" fontId="0" fillId="41" borderId="18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31" xfId="0" applyNumberFormat="1" applyBorder="1" applyAlignment="1">
      <alignment/>
    </xf>
    <xf numFmtId="2" fontId="0" fillId="42" borderId="18" xfId="0" applyNumberFormat="1" applyFont="1" applyFill="1" applyBorder="1" applyAlignment="1">
      <alignment horizontal="right"/>
    </xf>
    <xf numFmtId="0" fontId="0" fillId="43" borderId="18" xfId="0" applyNumberFormat="1" applyFont="1" applyFill="1" applyBorder="1" applyAlignment="1">
      <alignment horizontal="right"/>
    </xf>
    <xf numFmtId="164" fontId="0" fillId="43" borderId="18" xfId="0" applyNumberFormat="1" applyFont="1" applyFill="1" applyBorder="1" applyAlignment="1">
      <alignment horizontal="left"/>
    </xf>
    <xf numFmtId="164" fontId="0" fillId="43" borderId="18" xfId="0" applyNumberFormat="1" applyFont="1" applyFill="1" applyBorder="1" applyAlignment="1">
      <alignment/>
    </xf>
    <xf numFmtId="0" fontId="0" fillId="43" borderId="18" xfId="0" applyNumberFormat="1" applyFont="1" applyFill="1" applyBorder="1" applyAlignment="1">
      <alignment horizontal="center"/>
    </xf>
    <xf numFmtId="164" fontId="0" fillId="43" borderId="18" xfId="0" applyNumberFormat="1" applyFont="1" applyFill="1" applyBorder="1" applyAlignment="1">
      <alignment horizontal="center"/>
    </xf>
    <xf numFmtId="0" fontId="0" fillId="43" borderId="18" xfId="0" applyNumberFormat="1" applyFont="1" applyFill="1" applyBorder="1" applyAlignment="1" applyProtection="1">
      <alignment/>
      <protection/>
    </xf>
    <xf numFmtId="0" fontId="0" fillId="43" borderId="18" xfId="0" applyNumberFormat="1" applyFont="1" applyFill="1" applyBorder="1" applyAlignment="1" applyProtection="1">
      <alignment/>
      <protection locked="0"/>
    </xf>
    <xf numFmtId="164" fontId="0" fillId="38" borderId="18" xfId="0" applyNumberFormat="1" applyFont="1" applyFill="1" applyBorder="1" applyAlignment="1">
      <alignment horizontal="left"/>
    </xf>
    <xf numFmtId="164" fontId="0" fillId="44" borderId="18" xfId="0" applyNumberFormat="1" applyFont="1" applyFill="1" applyBorder="1" applyAlignment="1">
      <alignment horizontal="left"/>
    </xf>
    <xf numFmtId="2" fontId="0" fillId="45" borderId="18" xfId="0" applyNumberFormat="1" applyFont="1" applyFill="1" applyBorder="1" applyAlignment="1">
      <alignment horizontal="right"/>
    </xf>
    <xf numFmtId="0" fontId="0" fillId="44" borderId="18" xfId="0" applyNumberFormat="1" applyFont="1" applyFill="1" applyBorder="1" applyAlignment="1" applyProtection="1">
      <alignment/>
      <protection/>
    </xf>
    <xf numFmtId="0" fontId="0" fillId="44" borderId="18" xfId="0" applyNumberFormat="1" applyFont="1" applyFill="1" applyBorder="1" applyAlignment="1" applyProtection="1">
      <alignment/>
      <protection locked="0"/>
    </xf>
    <xf numFmtId="0" fontId="0" fillId="44" borderId="18" xfId="0" applyNumberFormat="1" applyFont="1" applyFill="1" applyBorder="1" applyAlignment="1" applyProtection="1">
      <alignment horizontal="left"/>
      <protection/>
    </xf>
    <xf numFmtId="164" fontId="0" fillId="44" borderId="18" xfId="0" applyNumberFormat="1" applyFont="1" applyFill="1" applyBorder="1" applyAlignment="1">
      <alignment/>
    </xf>
    <xf numFmtId="164" fontId="0" fillId="46" borderId="18" xfId="0" applyNumberFormat="1" applyFont="1" applyFill="1" applyBorder="1" applyAlignment="1">
      <alignment horizontal="left"/>
    </xf>
    <xf numFmtId="2" fontId="0" fillId="47" borderId="18" xfId="0" applyNumberFormat="1" applyFont="1" applyFill="1" applyBorder="1" applyAlignment="1">
      <alignment horizontal="right"/>
    </xf>
    <xf numFmtId="0" fontId="0" fillId="46" borderId="18" xfId="0" applyNumberFormat="1" applyFont="1" applyFill="1" applyBorder="1" applyAlignment="1" applyProtection="1">
      <alignment/>
      <protection/>
    </xf>
    <xf numFmtId="0" fontId="0" fillId="46" borderId="18" xfId="0" applyNumberFormat="1" applyFont="1" applyFill="1" applyBorder="1" applyAlignment="1" applyProtection="1">
      <alignment/>
      <protection locked="0"/>
    </xf>
    <xf numFmtId="0" fontId="0" fillId="46" borderId="18" xfId="0" applyNumberFormat="1" applyFont="1" applyFill="1" applyBorder="1" applyAlignment="1" applyProtection="1">
      <alignment horizontal="left"/>
      <protection/>
    </xf>
    <xf numFmtId="164" fontId="0" fillId="46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2016-3 Downtime by System 
October 4 - December 19, 2016
 Scheduled User Time =  1560 hours     
User downtime=  21.67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2016-3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ptCount val="16"/>
                <c:pt idx="0">
                  <c:v>0.0076980568012306174</c:v>
                </c:pt>
                <c:pt idx="1">
                  <c:v>0</c:v>
                </c:pt>
                <c:pt idx="2">
                  <c:v>0.00262652146066184</c:v>
                </c:pt>
                <c:pt idx="3">
                  <c:v>0.0009395686525035314</c:v>
                </c:pt>
                <c:pt idx="4">
                  <c:v>0.001249199231306758</c:v>
                </c:pt>
                <c:pt idx="5">
                  <c:v>0</c:v>
                </c:pt>
                <c:pt idx="6">
                  <c:v>0.00032030749512081016</c:v>
                </c:pt>
                <c:pt idx="7">
                  <c:v>0.0007046764893776484</c:v>
                </c:pt>
                <c:pt idx="8">
                  <c:v>0</c:v>
                </c:pt>
                <c:pt idx="9">
                  <c:v>0.00033098441166212587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ptCount val="16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0.0012000000000000001</c:v>
                </c:pt>
                <c:pt idx="8">
                  <c:v>0</c:v>
                </c:pt>
                <c:pt idx="9">
                  <c:v>0.0006000000000000001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0.0012000000000000001</c:v>
                </c:pt>
                <c:pt idx="15">
                  <c:v>0.0006000000000000001</c:v>
                </c:pt>
              </c:numCache>
            </c:numRef>
          </c:val>
        </c:ser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2016-3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8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2016-3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0.06236466002598134</c:v>
                </c:pt>
                <c:pt idx="1">
                  <c:v>0</c:v>
                </c:pt>
                <c:pt idx="2">
                  <c:v>0.09354699003897202</c:v>
                </c:pt>
                <c:pt idx="3">
                  <c:v>0.015591165006495334</c:v>
                </c:pt>
                <c:pt idx="4">
                  <c:v>0.03118233001299067</c:v>
                </c:pt>
                <c:pt idx="5">
                  <c:v>0</c:v>
                </c:pt>
                <c:pt idx="6">
                  <c:v>0.015591165006495334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At val="0"/>
        <c:auto val="1"/>
        <c:lblOffset val="100"/>
        <c:tickLblSkip val="1"/>
        <c:noMultiLvlLbl val="0"/>
      </c:catAx>
      <c:valAx>
        <c:axId val="40161166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93</xdr:row>
      <xdr:rowOff>76200</xdr:rowOff>
    </xdr:from>
    <xdr:to>
      <xdr:col>11</xdr:col>
      <xdr:colOff>85725</xdr:colOff>
      <xdr:row>94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6954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50</xdr:row>
      <xdr:rowOff>76200</xdr:rowOff>
    </xdr:from>
    <xdr:to>
      <xdr:col>11</xdr:col>
      <xdr:colOff>47625</xdr:colOff>
      <xdr:row>51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981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ICS\Public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8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8">
        <m/>
        <s v="PS"/>
        <s v="RF"/>
        <s v="MD"/>
        <s v="MOM"/>
        <s v="AOP"/>
        <s v="SI"/>
        <s v="CTL"/>
        <s v="FMS"/>
        <s v="FMS-H2O"/>
        <s v="OTH"/>
        <s v="ComEd"/>
        <s v="OPS"/>
        <s v="ESH"/>
        <s v="Rad"/>
        <s v="DIA"/>
        <s v="UNK"/>
        <s v="Weather"/>
      </sharedItems>
    </cacheField>
    <cacheField name="System">
      <sharedItems containsMixedTypes="0"/>
    </cacheField>
    <cacheField name="Group">
      <sharedItems containsBlank="1" containsMixedTypes="0" count="11">
        <m/>
        <s v="PS"/>
        <s v="RF"/>
        <s v="MD"/>
        <s v="MOM"/>
        <s v="AOP"/>
        <s v="SI"/>
        <s v="CTL"/>
        <s v="FMS"/>
        <s v="ComEd"/>
        <s v="DIA"/>
      </sharedItems>
    </cacheField>
    <cacheField name="Type">
      <sharedItems containsBlank="1" containsMixedTypes="0" count="4">
        <m/>
        <s v="Store Lost"/>
        <s v="Inhibits Beam to User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0"/>
        <item x="1"/>
        <item x="2"/>
        <item x="5"/>
        <item x="7"/>
        <item x="6"/>
        <item m="1" x="8"/>
        <item m="1" x="10"/>
        <item m="1" x="9"/>
        <item x="3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8">
    <i>
      <x v="1"/>
    </i>
    <i>
      <x v="2"/>
    </i>
    <i>
      <x v="3"/>
    </i>
    <i>
      <x v="4"/>
    </i>
    <i>
      <x v="5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J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8">
        <item h="1" x="0"/>
        <item m="1" x="9"/>
        <item x="1"/>
        <item x="2"/>
        <item m="1" x="13"/>
        <item x="6"/>
        <item m="1" x="15"/>
        <item x="7"/>
        <item x="4"/>
        <item m="1" x="8"/>
        <item m="1" x="16"/>
        <item m="1" x="12"/>
        <item m="1" x="11"/>
        <item m="1" x="17"/>
        <item m="1" x="10"/>
        <item m="1" x="14"/>
        <item x="5"/>
        <item x="3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1"/>
        <item x="2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8">
    <i>
      <x v="2"/>
    </i>
    <i>
      <x v="3"/>
    </i>
    <i>
      <x v="5"/>
    </i>
    <i>
      <x v="7"/>
    </i>
    <i>
      <x v="8"/>
    </i>
    <i>
      <x v="16"/>
    </i>
    <i>
      <x v="17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tabSelected="1" zoomScale="75" zoomScaleNormal="75" workbookViewId="0" topLeftCell="A13">
      <selection activeCell="D31" sqref="D31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89" t="s">
        <v>71</v>
      </c>
      <c r="B2" s="189"/>
      <c r="C2" s="189"/>
      <c r="D2" s="189"/>
      <c r="E2" s="189"/>
      <c r="F2" s="189"/>
      <c r="G2" s="189"/>
      <c r="H2" s="189"/>
      <c r="I2" s="189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115" t="s">
        <v>3</v>
      </c>
      <c r="B4" s="116" t="s">
        <v>4</v>
      </c>
      <c r="C4" s="116" t="s">
        <v>5</v>
      </c>
      <c r="D4" s="117" t="s">
        <v>6</v>
      </c>
      <c r="E4" s="118" t="s">
        <v>7</v>
      </c>
      <c r="F4" s="115" t="s">
        <v>8</v>
      </c>
      <c r="G4" s="119" t="s">
        <v>9</v>
      </c>
      <c r="H4" s="116" t="s">
        <v>4</v>
      </c>
      <c r="I4" s="116" t="s">
        <v>5</v>
      </c>
      <c r="J4" s="120" t="s">
        <v>10</v>
      </c>
      <c r="K4" s="121" t="s">
        <v>11</v>
      </c>
      <c r="L4" s="122" t="s">
        <v>12</v>
      </c>
      <c r="M4" s="123" t="s">
        <v>13</v>
      </c>
      <c r="N4" s="123" t="s">
        <v>14</v>
      </c>
      <c r="O4" s="122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34" customFormat="1" ht="12.75">
      <c r="A5" s="162">
        <v>1</v>
      </c>
      <c r="B5" s="163">
        <v>42647.333333333336</v>
      </c>
      <c r="C5" s="163">
        <v>42651.447916666664</v>
      </c>
      <c r="D5" s="94">
        <f>(C5-B5)*24</f>
        <v>98.74999999988358</v>
      </c>
      <c r="E5" s="164" t="s">
        <v>73</v>
      </c>
      <c r="F5" s="165">
        <v>106565</v>
      </c>
      <c r="G5" s="166"/>
      <c r="H5" s="163">
        <v>42651.447916666664</v>
      </c>
      <c r="I5" s="163">
        <v>42651.64513888889</v>
      </c>
      <c r="J5" s="94">
        <f>(I5-H5)*24</f>
        <v>4.7333333333954215</v>
      </c>
      <c r="K5" s="161"/>
      <c r="L5" s="167"/>
      <c r="M5" s="168"/>
      <c r="N5" s="168"/>
      <c r="O5" s="152"/>
      <c r="P5" s="164"/>
      <c r="Q5" s="35">
        <f aca="true" t="shared" si="0" ref="Q5:Q47">IF($O5="Store Lost",1,"")</f>
      </c>
      <c r="R5" s="35">
        <f aca="true" t="shared" si="1" ref="R5:R47">IF($O5="Scheduled",1,"")</f>
      </c>
      <c r="S5" s="35">
        <f aca="true" t="shared" si="2" ref="S5:S47">IF($O5="Inhibits beam to user",1,"")</f>
      </c>
      <c r="T5" s="36">
        <f>SUM(Q5:S5)</f>
        <v>0</v>
      </c>
      <c r="U5" s="30"/>
      <c r="V5" s="30"/>
      <c r="W5" s="30"/>
    </row>
    <row r="6" spans="1:23" s="34" customFormat="1" ht="12.75">
      <c r="A6" s="139"/>
      <c r="B6" s="169"/>
      <c r="C6" s="169"/>
      <c r="D6" s="153"/>
      <c r="E6" s="140"/>
      <c r="F6" s="141"/>
      <c r="G6" s="142"/>
      <c r="H6" s="170">
        <v>42651.447916666664</v>
      </c>
      <c r="I6" s="170">
        <v>42651.46875</v>
      </c>
      <c r="J6" s="171"/>
      <c r="K6" s="171">
        <f>(I6-H6)*24</f>
        <v>0.5000000000582077</v>
      </c>
      <c r="L6" s="172" t="s">
        <v>22</v>
      </c>
      <c r="M6" s="173" t="s">
        <v>22</v>
      </c>
      <c r="N6" s="173" t="s">
        <v>22</v>
      </c>
      <c r="O6" s="174" t="s">
        <v>17</v>
      </c>
      <c r="P6" s="175"/>
      <c r="Q6" s="35">
        <f t="shared" si="0"/>
        <v>1</v>
      </c>
      <c r="R6" s="35">
        <f t="shared" si="1"/>
      </c>
      <c r="S6" s="35">
        <f t="shared" si="2"/>
      </c>
      <c r="T6" s="36">
        <f aca="true" t="shared" si="3" ref="T6:T24">SUM(Q6:S6)</f>
        <v>1</v>
      </c>
      <c r="U6" s="30"/>
      <c r="V6" s="30"/>
      <c r="W6" s="30"/>
    </row>
    <row r="7" spans="1:23" s="34" customFormat="1" ht="12.75">
      <c r="A7" s="139"/>
      <c r="B7" s="169"/>
      <c r="C7" s="169"/>
      <c r="D7" s="153"/>
      <c r="E7" s="140"/>
      <c r="F7" s="141"/>
      <c r="G7" s="142"/>
      <c r="H7" s="176">
        <v>42651.46875</v>
      </c>
      <c r="I7" s="176">
        <v>42651.623611111114</v>
      </c>
      <c r="J7" s="177"/>
      <c r="K7" s="177">
        <f>(I7-H7)*24</f>
        <v>3.7166666667326353</v>
      </c>
      <c r="L7" s="178" t="s">
        <v>23</v>
      </c>
      <c r="M7" s="179" t="s">
        <v>23</v>
      </c>
      <c r="N7" s="179" t="s">
        <v>23</v>
      </c>
      <c r="O7" s="180" t="s">
        <v>70</v>
      </c>
      <c r="P7" s="181" t="s">
        <v>76</v>
      </c>
      <c r="Q7" s="35">
        <f t="shared" si="0"/>
      </c>
      <c r="R7" s="35">
        <f t="shared" si="1"/>
      </c>
      <c r="S7" s="35">
        <f t="shared" si="2"/>
        <v>1</v>
      </c>
      <c r="T7" s="36">
        <f t="shared" si="3"/>
        <v>1</v>
      </c>
      <c r="U7" s="30"/>
      <c r="V7" s="30"/>
      <c r="W7" s="30"/>
    </row>
    <row r="8" spans="1:23" s="34" customFormat="1" ht="12.75">
      <c r="A8" s="139"/>
      <c r="B8" s="169"/>
      <c r="C8" s="169"/>
      <c r="D8" s="153"/>
      <c r="E8" s="140"/>
      <c r="F8" s="141"/>
      <c r="G8" s="142"/>
      <c r="H8" s="170">
        <v>42651.623611111114</v>
      </c>
      <c r="I8" s="170">
        <v>42651.64513888889</v>
      </c>
      <c r="J8" s="171"/>
      <c r="K8" s="171">
        <f>(I8-H8)*24</f>
        <v>0.5166666666045785</v>
      </c>
      <c r="L8" s="172" t="s">
        <v>75</v>
      </c>
      <c r="M8" s="173" t="s">
        <v>75</v>
      </c>
      <c r="N8" s="173" t="s">
        <v>75</v>
      </c>
      <c r="O8" s="174" t="s">
        <v>70</v>
      </c>
      <c r="P8" s="175" t="s">
        <v>77</v>
      </c>
      <c r="Q8" s="35">
        <f t="shared" si="0"/>
      </c>
      <c r="R8" s="35">
        <f t="shared" si="1"/>
      </c>
      <c r="S8" s="35">
        <f t="shared" si="2"/>
        <v>1</v>
      </c>
      <c r="T8" s="36">
        <f t="shared" si="3"/>
        <v>1</v>
      </c>
      <c r="U8" s="30"/>
      <c r="V8" s="30"/>
      <c r="W8" s="30"/>
    </row>
    <row r="9" spans="1:23" s="136" customFormat="1" ht="15.75" customHeight="1">
      <c r="A9" s="139">
        <v>2</v>
      </c>
      <c r="B9" s="140">
        <v>42651.64513888889</v>
      </c>
      <c r="C9" s="140">
        <v>42652.56527777778</v>
      </c>
      <c r="D9" s="153">
        <f>(C9-B9)*24</f>
        <v>22.08333333337214</v>
      </c>
      <c r="E9" s="140" t="s">
        <v>73</v>
      </c>
      <c r="F9" s="141">
        <v>106569</v>
      </c>
      <c r="G9" s="142"/>
      <c r="H9" s="158">
        <v>42652.56527777778</v>
      </c>
      <c r="I9" s="158">
        <v>42652.58263888889</v>
      </c>
      <c r="J9" s="153">
        <f>(I9-H9)*24</f>
        <v>0.41666666662786156</v>
      </c>
      <c r="K9" s="153">
        <f>(I9-H9)*24</f>
        <v>0.41666666662786156</v>
      </c>
      <c r="L9" s="143" t="s">
        <v>22</v>
      </c>
      <c r="M9" s="144" t="s">
        <v>22</v>
      </c>
      <c r="N9" s="144" t="s">
        <v>22</v>
      </c>
      <c r="O9" s="145" t="s">
        <v>17</v>
      </c>
      <c r="P9" s="140"/>
      <c r="Q9" s="35">
        <f t="shared" si="0"/>
        <v>1</v>
      </c>
      <c r="R9" s="35">
        <f t="shared" si="1"/>
      </c>
      <c r="S9" s="35">
        <f t="shared" si="2"/>
      </c>
      <c r="T9" s="36">
        <f t="shared" si="3"/>
        <v>1</v>
      </c>
      <c r="U9" s="135"/>
      <c r="V9" s="135"/>
      <c r="W9" s="135"/>
    </row>
    <row r="10" spans="1:23" s="138" customFormat="1" ht="12.75">
      <c r="A10" s="146">
        <v>3</v>
      </c>
      <c r="B10" s="147">
        <v>42652.58263888889</v>
      </c>
      <c r="C10" s="147">
        <v>42653.05347222222</v>
      </c>
      <c r="D10" s="94">
        <f>(C10-B10)*24</f>
        <v>11.299999999988358</v>
      </c>
      <c r="E10" s="147" t="s">
        <v>73</v>
      </c>
      <c r="F10" s="148">
        <v>106572</v>
      </c>
      <c r="G10" s="149"/>
      <c r="H10" s="147">
        <v>42653.05347222222</v>
      </c>
      <c r="I10" s="147">
        <v>42653.15</v>
      </c>
      <c r="J10" s="94">
        <f>(I10-H10)*24</f>
        <v>2.3166666667093523</v>
      </c>
      <c r="K10" s="156"/>
      <c r="L10" s="150"/>
      <c r="M10" s="151"/>
      <c r="N10" s="151"/>
      <c r="O10" s="152"/>
      <c r="P10" s="147"/>
      <c r="Q10" s="35">
        <f t="shared" si="0"/>
      </c>
      <c r="R10" s="35">
        <f t="shared" si="1"/>
      </c>
      <c r="S10" s="35">
        <f t="shared" si="2"/>
      </c>
      <c r="T10" s="36">
        <f t="shared" si="3"/>
        <v>0</v>
      </c>
      <c r="U10" s="137"/>
      <c r="V10" s="137"/>
      <c r="W10" s="137"/>
    </row>
    <row r="11" spans="1:23" s="138" customFormat="1" ht="12.75">
      <c r="A11" s="139"/>
      <c r="B11" s="140"/>
      <c r="C11" s="140"/>
      <c r="D11" s="153"/>
      <c r="E11" s="140"/>
      <c r="F11" s="141"/>
      <c r="G11" s="149"/>
      <c r="H11" s="175">
        <v>42653.05347222222</v>
      </c>
      <c r="I11" s="175">
        <v>42653.07430555556</v>
      </c>
      <c r="J11" s="171"/>
      <c r="K11" s="171">
        <f>(I11-H11)*24</f>
        <v>0.5000000000582077</v>
      </c>
      <c r="L11" s="172" t="s">
        <v>22</v>
      </c>
      <c r="M11" s="173" t="s">
        <v>22</v>
      </c>
      <c r="N11" s="173" t="s">
        <v>22</v>
      </c>
      <c r="O11" s="174" t="s">
        <v>17</v>
      </c>
      <c r="P11" s="175"/>
      <c r="Q11" s="35">
        <f t="shared" si="0"/>
        <v>1</v>
      </c>
      <c r="R11" s="35">
        <f t="shared" si="1"/>
      </c>
      <c r="S11" s="35">
        <f t="shared" si="2"/>
      </c>
      <c r="T11" s="36">
        <f t="shared" si="3"/>
        <v>1</v>
      </c>
      <c r="U11" s="137"/>
      <c r="V11" s="137"/>
      <c r="W11" s="137"/>
    </row>
    <row r="12" spans="1:23" s="138" customFormat="1" ht="12.75">
      <c r="A12" s="139"/>
      <c r="B12" s="140"/>
      <c r="C12" s="140"/>
      <c r="D12" s="153"/>
      <c r="E12" s="140"/>
      <c r="F12" s="141"/>
      <c r="G12" s="149"/>
      <c r="H12" s="181">
        <v>42653.07430555556</v>
      </c>
      <c r="I12" s="181">
        <v>42653.15</v>
      </c>
      <c r="J12" s="177"/>
      <c r="K12" s="177">
        <f>(I12-H12)*24</f>
        <v>1.8166666666511446</v>
      </c>
      <c r="L12" s="178" t="s">
        <v>23</v>
      </c>
      <c r="M12" s="179" t="s">
        <v>23</v>
      </c>
      <c r="N12" s="179" t="s">
        <v>23</v>
      </c>
      <c r="O12" s="180" t="s">
        <v>70</v>
      </c>
      <c r="P12" s="181" t="s">
        <v>78</v>
      </c>
      <c r="Q12" s="35">
        <f t="shared" si="0"/>
      </c>
      <c r="R12" s="35">
        <f t="shared" si="1"/>
      </c>
      <c r="S12" s="35">
        <f t="shared" si="2"/>
        <v>1</v>
      </c>
      <c r="T12" s="36">
        <f t="shared" si="3"/>
        <v>1</v>
      </c>
      <c r="U12" s="137"/>
      <c r="V12" s="137"/>
      <c r="W12" s="137"/>
    </row>
    <row r="13" spans="1:23" s="136" customFormat="1" ht="15.75" customHeight="1">
      <c r="A13" s="139">
        <v>4</v>
      </c>
      <c r="B13" s="140">
        <v>42653.15</v>
      </c>
      <c r="C13" s="140">
        <v>42653.333333333336</v>
      </c>
      <c r="D13" s="153">
        <f>(C13-B13)*24</f>
        <v>4.400000000023283</v>
      </c>
      <c r="E13" s="140" t="s">
        <v>69</v>
      </c>
      <c r="F13" s="141"/>
      <c r="G13" s="142"/>
      <c r="H13" s="140"/>
      <c r="I13" s="140"/>
      <c r="J13" s="153">
        <f>(I13-H13)*24</f>
        <v>0</v>
      </c>
      <c r="K13" s="153">
        <f>(I13-H13)*24</f>
        <v>0</v>
      </c>
      <c r="L13" s="143"/>
      <c r="M13" s="144"/>
      <c r="N13" s="144"/>
      <c r="O13" s="145" t="s">
        <v>21</v>
      </c>
      <c r="P13" s="140"/>
      <c r="Q13" s="35">
        <f t="shared" si="0"/>
      </c>
      <c r="R13" s="35">
        <f t="shared" si="1"/>
        <v>1</v>
      </c>
      <c r="S13" s="35">
        <f t="shared" si="2"/>
      </c>
      <c r="T13" s="36">
        <f t="shared" si="3"/>
        <v>1</v>
      </c>
      <c r="U13" s="135"/>
      <c r="V13" s="135"/>
      <c r="W13" s="135"/>
    </row>
    <row r="14" spans="1:23" s="34" customFormat="1" ht="12.75">
      <c r="A14" s="124"/>
      <c r="B14" s="125"/>
      <c r="C14" s="125"/>
      <c r="D14" s="126">
        <f>SUM(D5:D13)</f>
        <v>136.53333333326736</v>
      </c>
      <c r="E14" s="127"/>
      <c r="F14" s="128"/>
      <c r="G14" s="129"/>
      <c r="H14" s="130"/>
      <c r="I14" s="130"/>
      <c r="J14" s="157">
        <f>SUM(J5:J13)</f>
        <v>7.466666666732635</v>
      </c>
      <c r="K14" s="157">
        <f>SUM(K5:K13)</f>
        <v>7.466666666732635</v>
      </c>
      <c r="L14" s="131"/>
      <c r="M14" s="132"/>
      <c r="N14" s="132"/>
      <c r="O14" s="133"/>
      <c r="P14" s="127"/>
      <c r="Q14" s="35">
        <f t="shared" si="0"/>
      </c>
      <c r="R14" s="35">
        <f t="shared" si="1"/>
      </c>
      <c r="S14" s="35">
        <f t="shared" si="2"/>
      </c>
      <c r="T14" s="36">
        <f t="shared" si="3"/>
        <v>0</v>
      </c>
      <c r="U14" s="30"/>
      <c r="V14" s="30"/>
      <c r="W14" s="30"/>
    </row>
    <row r="15" spans="1:23" s="136" customFormat="1" ht="15.75" customHeight="1">
      <c r="A15" s="139">
        <v>5</v>
      </c>
      <c r="B15" s="140">
        <v>42654.333333333336</v>
      </c>
      <c r="C15" s="140">
        <v>42660.333333333336</v>
      </c>
      <c r="D15" s="153">
        <f>(C15-B15)*24</f>
        <v>144</v>
      </c>
      <c r="E15" s="140" t="s">
        <v>69</v>
      </c>
      <c r="F15" s="141"/>
      <c r="G15" s="142"/>
      <c r="H15" s="140"/>
      <c r="I15" s="140"/>
      <c r="J15" s="153">
        <f>(I15-H15)*24</f>
        <v>0</v>
      </c>
      <c r="K15" s="153">
        <f>(I15-H15)*24</f>
        <v>0</v>
      </c>
      <c r="L15" s="143"/>
      <c r="M15" s="144"/>
      <c r="N15" s="144"/>
      <c r="O15" s="145" t="s">
        <v>21</v>
      </c>
      <c r="P15" s="140"/>
      <c r="Q15" s="35">
        <f t="shared" si="0"/>
      </c>
      <c r="R15" s="35">
        <f t="shared" si="1"/>
        <v>1</v>
      </c>
      <c r="S15" s="35">
        <f t="shared" si="2"/>
      </c>
      <c r="T15" s="36">
        <f t="shared" si="3"/>
        <v>1</v>
      </c>
      <c r="U15" s="135"/>
      <c r="V15" s="135"/>
      <c r="W15" s="135"/>
    </row>
    <row r="16" spans="1:23" s="34" customFormat="1" ht="12.75">
      <c r="A16" s="124"/>
      <c r="B16" s="125"/>
      <c r="C16" s="125"/>
      <c r="D16" s="126">
        <f>SUM(D15:D15)</f>
        <v>144</v>
      </c>
      <c r="E16" s="127"/>
      <c r="F16" s="128"/>
      <c r="G16" s="129"/>
      <c r="H16" s="130"/>
      <c r="I16" s="130"/>
      <c r="J16" s="157">
        <f>SUM(J15:J15)</f>
        <v>0</v>
      </c>
      <c r="K16" s="157">
        <f>SUM(K15:K15)</f>
        <v>0</v>
      </c>
      <c r="L16" s="131"/>
      <c r="M16" s="132"/>
      <c r="N16" s="132"/>
      <c r="O16" s="133"/>
      <c r="P16" s="127"/>
      <c r="Q16" s="35">
        <f t="shared" si="0"/>
      </c>
      <c r="R16" s="35">
        <f t="shared" si="1"/>
      </c>
      <c r="S16" s="35">
        <f t="shared" si="2"/>
      </c>
      <c r="T16" s="36">
        <f t="shared" si="3"/>
        <v>0</v>
      </c>
      <c r="U16" s="30"/>
      <c r="V16" s="30"/>
      <c r="W16" s="30"/>
    </row>
    <row r="17" spans="1:23" s="34" customFormat="1" ht="12.75">
      <c r="A17" s="162">
        <v>6</v>
      </c>
      <c r="B17" s="163">
        <v>42661.333333333336</v>
      </c>
      <c r="C17" s="163">
        <v>42661.467361111114</v>
      </c>
      <c r="D17" s="94">
        <f>(C17-B17)*24</f>
        <v>3.2166666666744277</v>
      </c>
      <c r="E17" s="164" t="s">
        <v>74</v>
      </c>
      <c r="F17" s="165">
        <v>106583</v>
      </c>
      <c r="G17" s="166"/>
      <c r="H17" s="163">
        <v>42661.467361111114</v>
      </c>
      <c r="I17" s="163">
        <v>42661.55416666667</v>
      </c>
      <c r="J17" s="94">
        <f>(I17-H17)*24</f>
        <v>2.083333333313931</v>
      </c>
      <c r="K17" s="161"/>
      <c r="L17" s="167"/>
      <c r="M17" s="168"/>
      <c r="N17" s="168"/>
      <c r="O17" s="152"/>
      <c r="P17" s="164"/>
      <c r="Q17" s="35">
        <f t="shared" si="0"/>
      </c>
      <c r="R17" s="35">
        <f t="shared" si="1"/>
      </c>
      <c r="S17" s="35">
        <f t="shared" si="2"/>
      </c>
      <c r="T17" s="36">
        <f t="shared" si="3"/>
        <v>0</v>
      </c>
      <c r="U17" s="30"/>
      <c r="V17" s="30"/>
      <c r="W17" s="30"/>
    </row>
    <row r="18" spans="1:23" s="138" customFormat="1" ht="12.75">
      <c r="A18" s="139"/>
      <c r="B18" s="140"/>
      <c r="C18" s="140"/>
      <c r="D18" s="153"/>
      <c r="E18" s="140"/>
      <c r="F18" s="141"/>
      <c r="G18" s="149"/>
      <c r="H18" s="175">
        <v>42661.467361111114</v>
      </c>
      <c r="I18" s="175">
        <v>42661.48819444444</v>
      </c>
      <c r="J18" s="171"/>
      <c r="K18" s="171">
        <f>(I18-H18)*24</f>
        <v>0.4999999998835847</v>
      </c>
      <c r="L18" s="172" t="s">
        <v>25</v>
      </c>
      <c r="M18" s="173" t="s">
        <v>25</v>
      </c>
      <c r="N18" s="173" t="s">
        <v>25</v>
      </c>
      <c r="O18" s="174" t="s">
        <v>17</v>
      </c>
      <c r="P18" s="175"/>
      <c r="Q18" s="35">
        <f t="shared" si="0"/>
        <v>1</v>
      </c>
      <c r="R18" s="35">
        <f t="shared" si="1"/>
      </c>
      <c r="S18" s="35">
        <f t="shared" si="2"/>
      </c>
      <c r="T18" s="36">
        <f t="shared" si="3"/>
        <v>1</v>
      </c>
      <c r="U18" s="137"/>
      <c r="V18" s="137"/>
      <c r="W18" s="137"/>
    </row>
    <row r="19" spans="1:23" s="138" customFormat="1" ht="12.75">
      <c r="A19" s="139"/>
      <c r="B19" s="140"/>
      <c r="C19" s="140"/>
      <c r="D19" s="153"/>
      <c r="E19" s="140"/>
      <c r="F19" s="141"/>
      <c r="G19" s="149"/>
      <c r="H19" s="181">
        <v>42661.48819444444</v>
      </c>
      <c r="I19" s="181">
        <v>42661.55416666667</v>
      </c>
      <c r="J19" s="177"/>
      <c r="K19" s="177">
        <f>(I19-H19)*24</f>
        <v>1.583333333430346</v>
      </c>
      <c r="L19" s="178" t="s">
        <v>23</v>
      </c>
      <c r="M19" s="179" t="s">
        <v>23</v>
      </c>
      <c r="N19" s="179" t="s">
        <v>23</v>
      </c>
      <c r="O19" s="180" t="s">
        <v>70</v>
      </c>
      <c r="P19" s="181"/>
      <c r="Q19" s="35">
        <f t="shared" si="0"/>
      </c>
      <c r="R19" s="35">
        <f t="shared" si="1"/>
      </c>
      <c r="S19" s="35">
        <f t="shared" si="2"/>
        <v>1</v>
      </c>
      <c r="T19" s="36">
        <f t="shared" si="3"/>
        <v>1</v>
      </c>
      <c r="U19" s="137"/>
      <c r="V19" s="137"/>
      <c r="W19" s="137"/>
    </row>
    <row r="20" spans="1:23" s="136" customFormat="1" ht="15.75" customHeight="1">
      <c r="A20" s="139">
        <v>7</v>
      </c>
      <c r="B20" s="140">
        <v>42661.55416666667</v>
      </c>
      <c r="C20" s="140">
        <v>42663.214583333334</v>
      </c>
      <c r="D20" s="153">
        <f>(C20-B20)*24</f>
        <v>39.84999999997672</v>
      </c>
      <c r="E20" s="140" t="s">
        <v>73</v>
      </c>
      <c r="F20" s="141">
        <v>106584</v>
      </c>
      <c r="G20" s="142"/>
      <c r="H20" s="158">
        <v>42663.214583333334</v>
      </c>
      <c r="I20" s="158">
        <v>42663.23472222222</v>
      </c>
      <c r="J20" s="153">
        <f>(I20-H20)*24</f>
        <v>0.48333333333721384</v>
      </c>
      <c r="K20" s="153">
        <f>(I20-H20)*24</f>
        <v>0.48333333333721384</v>
      </c>
      <c r="L20" s="143" t="s">
        <v>22</v>
      </c>
      <c r="M20" s="144" t="s">
        <v>22</v>
      </c>
      <c r="N20" s="144" t="s">
        <v>22</v>
      </c>
      <c r="O20" s="145" t="s">
        <v>17</v>
      </c>
      <c r="P20" s="140"/>
      <c r="Q20" s="35">
        <f t="shared" si="0"/>
        <v>1</v>
      </c>
      <c r="R20" s="35">
        <f t="shared" si="1"/>
      </c>
      <c r="S20" s="35">
        <f t="shared" si="2"/>
      </c>
      <c r="T20" s="36">
        <f t="shared" si="3"/>
        <v>1</v>
      </c>
      <c r="U20" s="135"/>
      <c r="V20" s="135"/>
      <c r="W20" s="135"/>
    </row>
    <row r="21" spans="1:23" s="138" customFormat="1" ht="12.75">
      <c r="A21" s="146">
        <v>8</v>
      </c>
      <c r="B21" s="147">
        <v>42663.23472222222</v>
      </c>
      <c r="C21" s="147">
        <v>42663.98055555556</v>
      </c>
      <c r="D21" s="94">
        <f>(C21-B21)*24</f>
        <v>17.900000000023283</v>
      </c>
      <c r="E21" s="147" t="s">
        <v>73</v>
      </c>
      <c r="F21" s="148">
        <v>106586</v>
      </c>
      <c r="G21" s="149"/>
      <c r="H21" s="147">
        <v>42663.98055555556</v>
      </c>
      <c r="I21" s="147">
        <v>42663.998611111114</v>
      </c>
      <c r="J21" s="94">
        <f>(I21-H21)*24</f>
        <v>0.4333333333488554</v>
      </c>
      <c r="K21" s="156">
        <f>(I21-H21)*24</f>
        <v>0.4333333333488554</v>
      </c>
      <c r="L21" s="150" t="s">
        <v>22</v>
      </c>
      <c r="M21" s="151" t="s">
        <v>22</v>
      </c>
      <c r="N21" s="151" t="s">
        <v>22</v>
      </c>
      <c r="O21" s="152" t="s">
        <v>17</v>
      </c>
      <c r="P21" s="147"/>
      <c r="Q21" s="35">
        <f t="shared" si="0"/>
        <v>1</v>
      </c>
      <c r="R21" s="35">
        <f t="shared" si="1"/>
      </c>
      <c r="S21" s="35">
        <f t="shared" si="2"/>
      </c>
      <c r="T21" s="36">
        <f t="shared" si="3"/>
        <v>1</v>
      </c>
      <c r="U21" s="137"/>
      <c r="V21" s="137"/>
      <c r="W21" s="137"/>
    </row>
    <row r="22" spans="1:23" s="136" customFormat="1" ht="15.75" customHeight="1">
      <c r="A22" s="139">
        <v>9</v>
      </c>
      <c r="B22" s="140">
        <v>42663.998611111114</v>
      </c>
      <c r="C22" s="140">
        <v>42667.333333333336</v>
      </c>
      <c r="D22" s="153">
        <f>(C22-B22)*24</f>
        <v>80.03333333332557</v>
      </c>
      <c r="E22" s="140" t="s">
        <v>69</v>
      </c>
      <c r="F22" s="141"/>
      <c r="G22" s="142"/>
      <c r="H22" s="140"/>
      <c r="I22" s="140"/>
      <c r="J22" s="153">
        <f>(I22-H22)*24</f>
        <v>0</v>
      </c>
      <c r="K22" s="153">
        <f>(I22-H22)*24</f>
        <v>0</v>
      </c>
      <c r="L22" s="143"/>
      <c r="M22" s="144"/>
      <c r="N22" s="144"/>
      <c r="O22" s="145" t="s">
        <v>21</v>
      </c>
      <c r="P22" s="140"/>
      <c r="Q22" s="35">
        <f t="shared" si="0"/>
      </c>
      <c r="R22" s="35">
        <f t="shared" si="1"/>
        <v>1</v>
      </c>
      <c r="S22" s="35">
        <f t="shared" si="2"/>
      </c>
      <c r="T22" s="36">
        <f t="shared" si="3"/>
        <v>1</v>
      </c>
      <c r="U22" s="135"/>
      <c r="V22" s="135"/>
      <c r="W22" s="135"/>
    </row>
    <row r="23" spans="1:23" s="34" customFormat="1" ht="12.75">
      <c r="A23" s="124"/>
      <c r="B23" s="125"/>
      <c r="C23" s="125"/>
      <c r="D23" s="126">
        <f>SUM(D17:D22)</f>
        <v>141</v>
      </c>
      <c r="E23" s="127"/>
      <c r="F23" s="128"/>
      <c r="G23" s="129"/>
      <c r="H23" s="130"/>
      <c r="I23" s="130"/>
      <c r="J23" s="157">
        <f>SUM(J17:J22)</f>
        <v>3</v>
      </c>
      <c r="K23" s="157">
        <f>SUM(K17:K22)</f>
        <v>3</v>
      </c>
      <c r="L23" s="131"/>
      <c r="M23" s="132"/>
      <c r="N23" s="132"/>
      <c r="O23" s="133"/>
      <c r="P23" s="127"/>
      <c r="Q23" s="35">
        <f t="shared" si="0"/>
      </c>
      <c r="R23" s="35">
        <f t="shared" si="1"/>
      </c>
      <c r="S23" s="35">
        <f t="shared" si="2"/>
      </c>
      <c r="T23" s="36">
        <f t="shared" si="3"/>
        <v>0</v>
      </c>
      <c r="U23" s="30"/>
      <c r="V23" s="30"/>
      <c r="W23" s="30"/>
    </row>
    <row r="24" spans="1:23" s="136" customFormat="1" ht="15.75" customHeight="1">
      <c r="A24" s="146"/>
      <c r="B24" s="147"/>
      <c r="C24" s="147"/>
      <c r="D24" s="156">
        <f>(C24-B24)*24</f>
        <v>0</v>
      </c>
      <c r="E24" s="147"/>
      <c r="F24" s="148">
        <v>106588</v>
      </c>
      <c r="G24" s="149"/>
      <c r="H24" s="147">
        <v>42668.333333333336</v>
      </c>
      <c r="I24" s="147">
        <v>42668.39444444444</v>
      </c>
      <c r="J24" s="156">
        <f>(I24-H24)*24</f>
        <v>1.4666666665580124</v>
      </c>
      <c r="K24" s="156">
        <f>(I24-H24)*24</f>
        <v>1.4666666665580124</v>
      </c>
      <c r="L24" s="150" t="s">
        <v>23</v>
      </c>
      <c r="M24" s="151" t="s">
        <v>23</v>
      </c>
      <c r="N24" s="151" t="s">
        <v>23</v>
      </c>
      <c r="O24" s="152" t="s">
        <v>70</v>
      </c>
      <c r="P24" s="147"/>
      <c r="Q24" s="35">
        <f t="shared" si="0"/>
      </c>
      <c r="R24" s="35">
        <f t="shared" si="1"/>
      </c>
      <c r="S24" s="35">
        <f t="shared" si="2"/>
        <v>1</v>
      </c>
      <c r="T24" s="36">
        <f t="shared" si="3"/>
        <v>1</v>
      </c>
      <c r="U24" s="135"/>
      <c r="V24" s="135"/>
      <c r="W24" s="135"/>
    </row>
    <row r="25" spans="1:23" s="136" customFormat="1" ht="15.75" customHeight="1">
      <c r="A25" s="139">
        <v>11</v>
      </c>
      <c r="B25" s="140">
        <v>42668.39444444444</v>
      </c>
      <c r="C25" s="140">
        <v>42674.333333333336</v>
      </c>
      <c r="D25" s="153">
        <f>(C25-B25)*24</f>
        <v>142.533333333442</v>
      </c>
      <c r="E25" s="140" t="s">
        <v>69</v>
      </c>
      <c r="F25" s="141"/>
      <c r="G25" s="142"/>
      <c r="H25" s="140"/>
      <c r="I25" s="140"/>
      <c r="J25" s="153">
        <f>(I25-H25)*24</f>
        <v>0</v>
      </c>
      <c r="K25" s="153">
        <f>(I25-H25)*24</f>
        <v>0</v>
      </c>
      <c r="L25" s="143"/>
      <c r="M25" s="144"/>
      <c r="N25" s="144"/>
      <c r="O25" s="145" t="s">
        <v>21</v>
      </c>
      <c r="P25" s="140"/>
      <c r="Q25" s="35">
        <f t="shared" si="0"/>
      </c>
      <c r="R25" s="35">
        <f t="shared" si="1"/>
        <v>1</v>
      </c>
      <c r="S25" s="35">
        <f t="shared" si="2"/>
      </c>
      <c r="T25" s="36">
        <f>SUM(Q25:S25)</f>
        <v>1</v>
      </c>
      <c r="U25" s="135"/>
      <c r="V25" s="135"/>
      <c r="W25" s="135"/>
    </row>
    <row r="26" spans="1:23" s="34" customFormat="1" ht="12.75">
      <c r="A26" s="124"/>
      <c r="B26" s="125"/>
      <c r="C26" s="125"/>
      <c r="D26" s="126">
        <f>SUM(D25:D25)</f>
        <v>142.533333333442</v>
      </c>
      <c r="E26" s="127"/>
      <c r="F26" s="128"/>
      <c r="G26" s="129"/>
      <c r="H26" s="130"/>
      <c r="I26" s="130"/>
      <c r="J26" s="157">
        <f>SUM(J24:J25)</f>
        <v>1.4666666665580124</v>
      </c>
      <c r="K26" s="157">
        <f>SUM(K24:K25)</f>
        <v>1.4666666665580124</v>
      </c>
      <c r="L26" s="131"/>
      <c r="M26" s="132"/>
      <c r="N26" s="132"/>
      <c r="O26" s="133"/>
      <c r="P26" s="127"/>
      <c r="Q26" s="35">
        <f t="shared" si="0"/>
      </c>
      <c r="R26" s="35">
        <f t="shared" si="1"/>
      </c>
      <c r="S26" s="35">
        <f t="shared" si="2"/>
      </c>
      <c r="T26" s="36">
        <f>SUM(Q26:S26)</f>
        <v>0</v>
      </c>
      <c r="U26" s="30"/>
      <c r="V26" s="30"/>
      <c r="W26" s="30"/>
    </row>
    <row r="27" spans="1:23" s="136" customFormat="1" ht="15.75" customHeight="1">
      <c r="A27" s="182"/>
      <c r="B27" s="158"/>
      <c r="C27" s="158"/>
      <c r="D27" s="183">
        <f>(C27-B27)*24</f>
        <v>0</v>
      </c>
      <c r="E27" s="158"/>
      <c r="F27" s="184"/>
      <c r="G27" s="185"/>
      <c r="H27" s="158">
        <v>42676.333333333336</v>
      </c>
      <c r="I27" s="158">
        <v>42676.379166666666</v>
      </c>
      <c r="J27" s="183">
        <f>(I27-H27)*24</f>
        <v>1.0999999999185093</v>
      </c>
      <c r="K27" s="183">
        <f>(I27-H27)*24</f>
        <v>1.0999999999185093</v>
      </c>
      <c r="L27" s="186" t="s">
        <v>68</v>
      </c>
      <c r="M27" s="187" t="s">
        <v>68</v>
      </c>
      <c r="N27" s="187" t="s">
        <v>68</v>
      </c>
      <c r="O27" s="188" t="s">
        <v>70</v>
      </c>
      <c r="P27" s="158" t="s">
        <v>83</v>
      </c>
      <c r="Q27" s="35"/>
      <c r="R27" s="35">
        <f t="shared" si="1"/>
      </c>
      <c r="S27" s="35">
        <f t="shared" si="2"/>
        <v>1</v>
      </c>
      <c r="T27" s="36">
        <f>SUM(Q27:S27)</f>
        <v>1</v>
      </c>
      <c r="U27" s="135"/>
      <c r="V27" s="135"/>
      <c r="W27" s="135"/>
    </row>
    <row r="28" spans="1:23" s="34" customFormat="1" ht="12.75">
      <c r="A28" s="162">
        <v>12</v>
      </c>
      <c r="B28" s="163">
        <v>42676.379166666666</v>
      </c>
      <c r="C28" s="163">
        <v>42676.43194444444</v>
      </c>
      <c r="D28" s="94">
        <f>(C28-B28)*24</f>
        <v>1.2666666666045785</v>
      </c>
      <c r="E28" s="164" t="s">
        <v>79</v>
      </c>
      <c r="F28" s="165"/>
      <c r="G28" s="166"/>
      <c r="H28" s="163">
        <v>42676.43194444444</v>
      </c>
      <c r="I28" s="163">
        <v>42676.478472222225</v>
      </c>
      <c r="J28" s="94">
        <f>(I28-H28)*24</f>
        <v>1.116666666814126</v>
      </c>
      <c r="K28" s="156">
        <f>(I28-H28)*24</f>
        <v>1.116666666814126</v>
      </c>
      <c r="L28" s="167" t="s">
        <v>66</v>
      </c>
      <c r="M28" s="168" t="s">
        <v>66</v>
      </c>
      <c r="N28" s="168" t="s">
        <v>66</v>
      </c>
      <c r="O28" s="152" t="s">
        <v>17</v>
      </c>
      <c r="P28" s="164" t="s">
        <v>82</v>
      </c>
      <c r="Q28" s="35">
        <f t="shared" si="0"/>
        <v>1</v>
      </c>
      <c r="R28" s="35">
        <f t="shared" si="1"/>
      </c>
      <c r="S28" s="35">
        <f t="shared" si="2"/>
      </c>
      <c r="T28" s="36">
        <f aca="true" t="shared" si="4" ref="T28:T34">SUM(Q28:S28)</f>
        <v>1</v>
      </c>
      <c r="U28" s="30"/>
      <c r="V28" s="30"/>
      <c r="W28" s="30"/>
    </row>
    <row r="29" spans="1:23" s="136" customFormat="1" ht="15.75" customHeight="1">
      <c r="A29" s="139">
        <v>13</v>
      </c>
      <c r="B29" s="140">
        <v>42676.478472222225</v>
      </c>
      <c r="C29" s="140">
        <v>42678.055555555555</v>
      </c>
      <c r="D29" s="153">
        <f>(C29-B29)*24</f>
        <v>37.84999999991851</v>
      </c>
      <c r="E29" s="140" t="s">
        <v>80</v>
      </c>
      <c r="F29" s="141">
        <v>106602</v>
      </c>
      <c r="G29" s="142"/>
      <c r="H29" s="158">
        <v>42678.055555555555</v>
      </c>
      <c r="I29" s="158">
        <v>42678.086805555555</v>
      </c>
      <c r="J29" s="153">
        <f>(I29-H29)*24</f>
        <v>0.75</v>
      </c>
      <c r="K29" s="153">
        <f>(I29-H29)*24</f>
        <v>0.75</v>
      </c>
      <c r="L29" s="143" t="s">
        <v>23</v>
      </c>
      <c r="M29" s="144" t="s">
        <v>23</v>
      </c>
      <c r="N29" s="144" t="s">
        <v>23</v>
      </c>
      <c r="O29" s="145" t="s">
        <v>17</v>
      </c>
      <c r="P29" s="140"/>
      <c r="Q29" s="35">
        <f t="shared" si="0"/>
        <v>1</v>
      </c>
      <c r="R29" s="35">
        <f t="shared" si="1"/>
      </c>
      <c r="S29" s="35">
        <f t="shared" si="2"/>
      </c>
      <c r="T29" s="36">
        <f t="shared" si="4"/>
        <v>1</v>
      </c>
      <c r="U29" s="135"/>
      <c r="V29" s="135"/>
      <c r="W29" s="135"/>
    </row>
    <row r="30" spans="1:23" s="138" customFormat="1" ht="12.75">
      <c r="A30" s="146">
        <v>14</v>
      </c>
      <c r="B30" s="147">
        <v>42678.086805555555</v>
      </c>
      <c r="C30" s="147">
        <v>42680.777083333334</v>
      </c>
      <c r="D30" s="94">
        <f>(C30-B30)*24+1</f>
        <v>65.56666666670935</v>
      </c>
      <c r="E30" s="147" t="s">
        <v>81</v>
      </c>
      <c r="F30" s="148">
        <v>106606</v>
      </c>
      <c r="G30" s="149"/>
      <c r="H30" s="147">
        <v>42680.777083333334</v>
      </c>
      <c r="I30" s="147">
        <v>42680.83888888889</v>
      </c>
      <c r="J30" s="94">
        <f>(I30-H30)*24</f>
        <v>1.4833333332790062</v>
      </c>
      <c r="K30" s="156">
        <f>(I30-H30)*24</f>
        <v>1.4833333332790062</v>
      </c>
      <c r="L30" s="150" t="s">
        <v>24</v>
      </c>
      <c r="M30" s="151" t="s">
        <v>24</v>
      </c>
      <c r="N30" s="151" t="s">
        <v>24</v>
      </c>
      <c r="O30" s="152" t="s">
        <v>17</v>
      </c>
      <c r="P30" s="147"/>
      <c r="Q30" s="35">
        <f t="shared" si="0"/>
        <v>1</v>
      </c>
      <c r="R30" s="35">
        <f t="shared" si="1"/>
      </c>
      <c r="S30" s="35">
        <f t="shared" si="2"/>
      </c>
      <c r="T30" s="36">
        <f t="shared" si="4"/>
        <v>1</v>
      </c>
      <c r="U30" s="137"/>
      <c r="V30" s="137"/>
      <c r="W30" s="137"/>
    </row>
    <row r="31" spans="1:23" s="136" customFormat="1" ht="15.75" customHeight="1">
      <c r="A31" s="139">
        <v>15</v>
      </c>
      <c r="B31" s="140">
        <v>42680.83888888889</v>
      </c>
      <c r="C31" s="140">
        <v>42681.333333333336</v>
      </c>
      <c r="D31" s="153">
        <f>(C31-B31)*24</f>
        <v>11.866666666755918</v>
      </c>
      <c r="E31" s="140" t="s">
        <v>69</v>
      </c>
      <c r="F31" s="141"/>
      <c r="G31" s="142"/>
      <c r="H31" s="140"/>
      <c r="I31" s="140"/>
      <c r="J31" s="153">
        <f>(I31-H31)*24</f>
        <v>0</v>
      </c>
      <c r="K31" s="153">
        <f>(I31-H31)*24</f>
        <v>0</v>
      </c>
      <c r="L31" s="143"/>
      <c r="M31" s="144"/>
      <c r="N31" s="144"/>
      <c r="O31" s="145" t="s">
        <v>21</v>
      </c>
      <c r="P31" s="140"/>
      <c r="Q31" s="35">
        <f t="shared" si="0"/>
      </c>
      <c r="R31" s="35">
        <f t="shared" si="1"/>
        <v>1</v>
      </c>
      <c r="S31" s="35">
        <f t="shared" si="2"/>
      </c>
      <c r="T31" s="36">
        <f t="shared" si="4"/>
        <v>1</v>
      </c>
      <c r="U31" s="135"/>
      <c r="V31" s="135"/>
      <c r="W31" s="135"/>
    </row>
    <row r="32" spans="1:23" s="34" customFormat="1" ht="12.75">
      <c r="A32" s="124"/>
      <c r="B32" s="125"/>
      <c r="C32" s="125"/>
      <c r="D32" s="126">
        <f>SUM(D27:D31)</f>
        <v>116.54999999998836</v>
      </c>
      <c r="E32" s="127"/>
      <c r="F32" s="128"/>
      <c r="G32" s="129"/>
      <c r="H32" s="130"/>
      <c r="I32" s="130"/>
      <c r="J32" s="157">
        <f>SUM(J27:J31)</f>
        <v>4.4500000000116415</v>
      </c>
      <c r="K32" s="157">
        <f>SUM(K27:K31)</f>
        <v>4.4500000000116415</v>
      </c>
      <c r="L32" s="131"/>
      <c r="M32" s="132"/>
      <c r="N32" s="132"/>
      <c r="O32" s="133"/>
      <c r="P32" s="127"/>
      <c r="Q32" s="35">
        <f t="shared" si="0"/>
      </c>
      <c r="R32" s="35">
        <f t="shared" si="1"/>
      </c>
      <c r="S32" s="35">
        <f t="shared" si="2"/>
      </c>
      <c r="T32" s="36">
        <f t="shared" si="4"/>
        <v>0</v>
      </c>
      <c r="U32" s="30"/>
      <c r="V32" s="30"/>
      <c r="W32" s="30"/>
    </row>
    <row r="33" spans="1:23" s="136" customFormat="1" ht="15.75" customHeight="1">
      <c r="A33" s="139">
        <v>16</v>
      </c>
      <c r="B33" s="140">
        <v>42654.333333333336</v>
      </c>
      <c r="C33" s="140">
        <v>42660.333333333336</v>
      </c>
      <c r="D33" s="153">
        <f>(C33-B33)*24</f>
        <v>144</v>
      </c>
      <c r="E33" s="140" t="s">
        <v>69</v>
      </c>
      <c r="F33" s="141"/>
      <c r="G33" s="142"/>
      <c r="H33" s="140"/>
      <c r="I33" s="140"/>
      <c r="J33" s="153">
        <f>(I33-H33)*24</f>
        <v>0</v>
      </c>
      <c r="K33" s="153">
        <f>(I33-H33)*24</f>
        <v>0</v>
      </c>
      <c r="L33" s="143"/>
      <c r="M33" s="144"/>
      <c r="N33" s="144"/>
      <c r="O33" s="145" t="s">
        <v>21</v>
      </c>
      <c r="P33" s="140"/>
      <c r="Q33" s="35">
        <f t="shared" si="0"/>
      </c>
      <c r="R33" s="35">
        <f t="shared" si="1"/>
        <v>1</v>
      </c>
      <c r="S33" s="35">
        <f t="shared" si="2"/>
      </c>
      <c r="T33" s="36">
        <f t="shared" si="4"/>
        <v>1</v>
      </c>
      <c r="U33" s="135"/>
      <c r="V33" s="135"/>
      <c r="W33" s="135"/>
    </row>
    <row r="34" spans="1:23" s="34" customFormat="1" ht="12.75">
      <c r="A34" s="124"/>
      <c r="B34" s="125"/>
      <c r="C34" s="125"/>
      <c r="D34" s="126">
        <f>SUM(D33:D33)</f>
        <v>144</v>
      </c>
      <c r="E34" s="127"/>
      <c r="F34" s="128"/>
      <c r="G34" s="129"/>
      <c r="H34" s="130"/>
      <c r="I34" s="130"/>
      <c r="J34" s="157">
        <f>SUM(J33:J33)</f>
        <v>0</v>
      </c>
      <c r="K34" s="157">
        <f>SUM(K33:K33)</f>
        <v>0</v>
      </c>
      <c r="L34" s="131"/>
      <c r="M34" s="132"/>
      <c r="N34" s="132"/>
      <c r="O34" s="133"/>
      <c r="P34" s="127"/>
      <c r="Q34" s="35">
        <f t="shared" si="0"/>
      </c>
      <c r="R34" s="35">
        <f t="shared" si="1"/>
      </c>
      <c r="S34" s="35">
        <f t="shared" si="2"/>
      </c>
      <c r="T34" s="36">
        <f t="shared" si="4"/>
        <v>0</v>
      </c>
      <c r="U34" s="30"/>
      <c r="V34" s="30"/>
      <c r="W34" s="30"/>
    </row>
    <row r="35" spans="1:23" s="136" customFormat="1" ht="15.75" customHeight="1">
      <c r="A35" s="182">
        <v>17</v>
      </c>
      <c r="B35" s="158">
        <v>42689.333333333336</v>
      </c>
      <c r="C35" s="158">
        <v>42689.38888888889</v>
      </c>
      <c r="D35" s="183">
        <f>(C35-B35)*24</f>
        <v>1.3333333333139308</v>
      </c>
      <c r="E35" s="158" t="s">
        <v>84</v>
      </c>
      <c r="F35" s="184">
        <v>106608</v>
      </c>
      <c r="G35" s="185"/>
      <c r="H35" s="158">
        <v>42689.38888888889</v>
      </c>
      <c r="I35" s="158">
        <v>42689.42361111111</v>
      </c>
      <c r="J35" s="183">
        <f>(I35-H35)*24</f>
        <v>0.8333333332557231</v>
      </c>
      <c r="K35" s="183">
        <f>(I35-H35)*24</f>
        <v>0.8333333332557231</v>
      </c>
      <c r="L35" s="186" t="s">
        <v>66</v>
      </c>
      <c r="M35" s="187" t="s">
        <v>66</v>
      </c>
      <c r="N35" s="187" t="s">
        <v>66</v>
      </c>
      <c r="O35" s="188" t="s">
        <v>17</v>
      </c>
      <c r="P35" s="158"/>
      <c r="Q35" s="35">
        <f t="shared" si="0"/>
        <v>1</v>
      </c>
      <c r="R35" s="35">
        <f t="shared" si="1"/>
      </c>
      <c r="S35" s="35">
        <f t="shared" si="2"/>
      </c>
      <c r="T35" s="36">
        <f aca="true" t="shared" si="5" ref="T35:T45">SUM(Q35:S35)</f>
        <v>1</v>
      </c>
      <c r="U35" s="135"/>
      <c r="V35" s="135"/>
      <c r="W35" s="135"/>
    </row>
    <row r="36" spans="1:23" s="34" customFormat="1" ht="12.75">
      <c r="A36" s="162">
        <v>18</v>
      </c>
      <c r="B36" s="163">
        <v>42689.42361111111</v>
      </c>
      <c r="C36" s="163">
        <v>42690.427777777775</v>
      </c>
      <c r="D36" s="94">
        <f>(C36-B36)*24</f>
        <v>24.099999999976717</v>
      </c>
      <c r="E36" s="164" t="s">
        <v>85</v>
      </c>
      <c r="F36" s="165">
        <v>106609</v>
      </c>
      <c r="G36" s="166"/>
      <c r="H36" s="163">
        <v>42690.427777777775</v>
      </c>
      <c r="I36" s="163">
        <v>42690.447916666664</v>
      </c>
      <c r="J36" s="94">
        <f>(I36-H36)*24</f>
        <v>0.48333333333721384</v>
      </c>
      <c r="K36" s="156">
        <f>(I36-H36)*24</f>
        <v>0.48333333333721384</v>
      </c>
      <c r="L36" s="167" t="s">
        <v>23</v>
      </c>
      <c r="M36" s="168" t="s">
        <v>23</v>
      </c>
      <c r="N36" s="168" t="s">
        <v>23</v>
      </c>
      <c r="O36" s="152" t="s">
        <v>17</v>
      </c>
      <c r="P36" s="164"/>
      <c r="Q36" s="35">
        <f t="shared" si="0"/>
        <v>1</v>
      </c>
      <c r="R36" s="35">
        <f t="shared" si="1"/>
      </c>
      <c r="S36" s="35">
        <f t="shared" si="2"/>
      </c>
      <c r="T36" s="36">
        <f t="shared" si="5"/>
        <v>1</v>
      </c>
      <c r="U36" s="30"/>
      <c r="V36" s="30"/>
      <c r="W36" s="30"/>
    </row>
    <row r="37" spans="1:23" s="136" customFormat="1" ht="15.75" customHeight="1">
      <c r="A37" s="139">
        <v>19</v>
      </c>
      <c r="B37" s="140">
        <v>42690.447916666664</v>
      </c>
      <c r="C37" s="140">
        <v>42691.229166666664</v>
      </c>
      <c r="D37" s="153">
        <f>(C37-B37)*24</f>
        <v>18.75</v>
      </c>
      <c r="E37" s="140" t="s">
        <v>86</v>
      </c>
      <c r="F37" s="141">
        <v>106610</v>
      </c>
      <c r="G37" s="142"/>
      <c r="H37" s="158">
        <v>42691.229166666664</v>
      </c>
      <c r="I37" s="158">
        <v>42691.24722222222</v>
      </c>
      <c r="J37" s="153">
        <f>(I37-H37)*24</f>
        <v>0.4333333333488554</v>
      </c>
      <c r="K37" s="153">
        <f>(I37-H37)*24</f>
        <v>0.4333333333488554</v>
      </c>
      <c r="L37" s="143" t="s">
        <v>23</v>
      </c>
      <c r="M37" s="144" t="s">
        <v>23</v>
      </c>
      <c r="N37" s="144" t="s">
        <v>23</v>
      </c>
      <c r="O37" s="145" t="s">
        <v>17</v>
      </c>
      <c r="P37" s="140"/>
      <c r="Q37" s="35">
        <f t="shared" si="0"/>
        <v>1</v>
      </c>
      <c r="R37" s="35">
        <f t="shared" si="1"/>
      </c>
      <c r="S37" s="35">
        <f t="shared" si="2"/>
      </c>
      <c r="T37" s="36">
        <f t="shared" si="5"/>
        <v>1</v>
      </c>
      <c r="U37" s="135"/>
      <c r="V37" s="135"/>
      <c r="W37" s="135"/>
    </row>
    <row r="38" spans="1:23" s="138" customFormat="1" ht="12.75">
      <c r="A38" s="146">
        <v>20</v>
      </c>
      <c r="B38" s="147">
        <v>42691.24722222222</v>
      </c>
      <c r="C38" s="147">
        <v>42691.32152777778</v>
      </c>
      <c r="D38" s="94">
        <f>(C38-B38)*24</f>
        <v>1.78333333338378</v>
      </c>
      <c r="E38" s="147" t="s">
        <v>87</v>
      </c>
      <c r="F38" s="148">
        <v>106611</v>
      </c>
      <c r="G38" s="149"/>
      <c r="H38" s="147">
        <v>42691.32152777778</v>
      </c>
      <c r="I38" s="147">
        <v>42691.39513888889</v>
      </c>
      <c r="J38" s="94">
        <f>(I38-H38)*24</f>
        <v>1.7666666666627862</v>
      </c>
      <c r="K38" s="156">
        <f>(I38-H38)*24</f>
        <v>1.7666666666627862</v>
      </c>
      <c r="L38" s="150" t="s">
        <v>23</v>
      </c>
      <c r="M38" s="151" t="s">
        <v>23</v>
      </c>
      <c r="N38" s="151" t="s">
        <v>23</v>
      </c>
      <c r="O38" s="152" t="s">
        <v>17</v>
      </c>
      <c r="P38" s="147" t="s">
        <v>88</v>
      </c>
      <c r="Q38" s="35">
        <f t="shared" si="0"/>
        <v>1</v>
      </c>
      <c r="R38" s="35">
        <f t="shared" si="1"/>
      </c>
      <c r="S38" s="35">
        <f t="shared" si="2"/>
      </c>
      <c r="T38" s="36">
        <f t="shared" si="5"/>
        <v>1</v>
      </c>
      <c r="U38" s="137"/>
      <c r="V38" s="137"/>
      <c r="W38" s="137"/>
    </row>
    <row r="39" spans="1:23" s="136" customFormat="1" ht="15.75" customHeight="1">
      <c r="A39" s="139">
        <v>22</v>
      </c>
      <c r="B39" s="140">
        <v>42691.39513888889</v>
      </c>
      <c r="C39" s="140">
        <v>42697.333333333336</v>
      </c>
      <c r="D39" s="153">
        <f>(C39-B39)*24</f>
        <v>142.516666666721</v>
      </c>
      <c r="E39" s="140" t="s">
        <v>69</v>
      </c>
      <c r="F39" s="141"/>
      <c r="G39" s="142"/>
      <c r="H39" s="140"/>
      <c r="I39" s="140"/>
      <c r="J39" s="153">
        <f>(I39-H39)*24</f>
        <v>0</v>
      </c>
      <c r="K39" s="153">
        <f>(I39-H39)*24</f>
        <v>0</v>
      </c>
      <c r="L39" s="143"/>
      <c r="M39" s="144"/>
      <c r="N39" s="144"/>
      <c r="O39" s="145" t="s">
        <v>21</v>
      </c>
      <c r="P39" s="140"/>
      <c r="Q39" s="35">
        <f t="shared" si="0"/>
      </c>
      <c r="R39" s="35">
        <f t="shared" si="1"/>
        <v>1</v>
      </c>
      <c r="S39" s="35">
        <f t="shared" si="2"/>
      </c>
      <c r="T39" s="36">
        <f t="shared" si="5"/>
        <v>1</v>
      </c>
      <c r="U39" s="135"/>
      <c r="V39" s="135"/>
      <c r="W39" s="135"/>
    </row>
    <row r="40" spans="1:23" s="34" customFormat="1" ht="12.75">
      <c r="A40" s="124"/>
      <c r="B40" s="125"/>
      <c r="C40" s="125"/>
      <c r="D40" s="126">
        <f>SUM(D35:D39)</f>
        <v>188.48333333339542</v>
      </c>
      <c r="E40" s="127"/>
      <c r="F40" s="128"/>
      <c r="G40" s="129"/>
      <c r="H40" s="130"/>
      <c r="I40" s="130"/>
      <c r="J40" s="157">
        <f>SUM(J35:J39)</f>
        <v>3.5166666666045785</v>
      </c>
      <c r="K40" s="157">
        <f>SUM(K35:K39)</f>
        <v>3.5166666666045785</v>
      </c>
      <c r="L40" s="131"/>
      <c r="M40" s="132"/>
      <c r="N40" s="132"/>
      <c r="O40" s="133"/>
      <c r="P40" s="127"/>
      <c r="Q40" s="35">
        <f t="shared" si="0"/>
      </c>
      <c r="R40" s="35">
        <f t="shared" si="1"/>
      </c>
      <c r="S40" s="35">
        <f t="shared" si="2"/>
      </c>
      <c r="T40" s="36">
        <f t="shared" si="5"/>
        <v>0</v>
      </c>
      <c r="U40" s="30"/>
      <c r="V40" s="30"/>
      <c r="W40" s="30"/>
    </row>
    <row r="41" spans="1:23" s="136" customFormat="1" ht="15.75" customHeight="1">
      <c r="A41" s="146">
        <v>23</v>
      </c>
      <c r="B41" s="147">
        <v>42699.333333333336</v>
      </c>
      <c r="C41" s="147">
        <v>42706.595138888886</v>
      </c>
      <c r="D41" s="156">
        <f>(C41-B41)*24</f>
        <v>174.28333333320916</v>
      </c>
      <c r="E41" s="147" t="s">
        <v>89</v>
      </c>
      <c r="F41" s="148">
        <v>106624</v>
      </c>
      <c r="G41" s="149"/>
      <c r="H41" s="147">
        <v>42706.595138888886</v>
      </c>
      <c r="I41" s="147">
        <v>42706.66875</v>
      </c>
      <c r="J41" s="156">
        <f>(I41-H41)*24</f>
        <v>1.7666666666627862</v>
      </c>
      <c r="K41" s="156">
        <f>(I41-H41)*24</f>
        <v>1.7666666666627862</v>
      </c>
      <c r="L41" s="150" t="s">
        <v>22</v>
      </c>
      <c r="M41" s="151" t="s">
        <v>22</v>
      </c>
      <c r="N41" s="151" t="s">
        <v>22</v>
      </c>
      <c r="O41" s="152" t="s">
        <v>17</v>
      </c>
      <c r="P41" s="147"/>
      <c r="Q41" s="35">
        <f t="shared" si="0"/>
        <v>1</v>
      </c>
      <c r="R41" s="35">
        <f t="shared" si="1"/>
      </c>
      <c r="S41" s="35">
        <f t="shared" si="2"/>
      </c>
      <c r="T41" s="36">
        <f t="shared" si="5"/>
        <v>1</v>
      </c>
      <c r="U41" s="135"/>
      <c r="V41" s="135"/>
      <c r="W41" s="135"/>
    </row>
    <row r="42" spans="1:23" s="136" customFormat="1" ht="15.75" customHeight="1">
      <c r="A42" s="139">
        <v>24</v>
      </c>
      <c r="B42" s="140">
        <v>42706.66875</v>
      </c>
      <c r="C42" s="140">
        <v>42709.333333333336</v>
      </c>
      <c r="D42" s="153">
        <f>(C42-B42)*24</f>
        <v>63.95000000012806</v>
      </c>
      <c r="E42" s="140" t="s">
        <v>69</v>
      </c>
      <c r="F42" s="141"/>
      <c r="G42" s="142"/>
      <c r="H42" s="140"/>
      <c r="I42" s="140"/>
      <c r="J42" s="153">
        <f>(I42-H42)*24</f>
        <v>0</v>
      </c>
      <c r="K42" s="153">
        <f>(I42-H42)*24</f>
        <v>0</v>
      </c>
      <c r="L42" s="143"/>
      <c r="M42" s="144"/>
      <c r="N42" s="144"/>
      <c r="O42" s="145" t="s">
        <v>21</v>
      </c>
      <c r="P42" s="140"/>
      <c r="Q42" s="35">
        <f t="shared" si="0"/>
      </c>
      <c r="R42" s="35">
        <f t="shared" si="1"/>
        <v>1</v>
      </c>
      <c r="S42" s="35">
        <f t="shared" si="2"/>
      </c>
      <c r="T42" s="36">
        <f t="shared" si="5"/>
        <v>1</v>
      </c>
      <c r="U42" s="135"/>
      <c r="V42" s="135"/>
      <c r="W42" s="135"/>
    </row>
    <row r="43" spans="1:23" s="34" customFormat="1" ht="12.75">
      <c r="A43" s="124"/>
      <c r="B43" s="125"/>
      <c r="C43" s="125"/>
      <c r="D43" s="126">
        <f>SUM(D41:D42)</f>
        <v>238.2333333333372</v>
      </c>
      <c r="E43" s="127"/>
      <c r="F43" s="128"/>
      <c r="G43" s="129"/>
      <c r="H43" s="130"/>
      <c r="I43" s="130"/>
      <c r="J43" s="157">
        <f>SUM(J41:J42)</f>
        <v>1.7666666666627862</v>
      </c>
      <c r="K43" s="157">
        <f>SUM(K41:K42)</f>
        <v>1.7666666666627862</v>
      </c>
      <c r="L43" s="131"/>
      <c r="M43" s="132"/>
      <c r="N43" s="132"/>
      <c r="O43" s="133"/>
      <c r="P43" s="127"/>
      <c r="Q43" s="35">
        <f t="shared" si="0"/>
      </c>
      <c r="R43" s="35">
        <f t="shared" si="1"/>
      </c>
      <c r="S43" s="35">
        <f t="shared" si="2"/>
      </c>
      <c r="T43" s="36">
        <f t="shared" si="5"/>
        <v>0</v>
      </c>
      <c r="U43" s="30"/>
      <c r="V43" s="30"/>
      <c r="W43" s="30"/>
    </row>
    <row r="44" spans="1:23" s="136" customFormat="1" ht="15.75" customHeight="1">
      <c r="A44" s="139">
        <v>25</v>
      </c>
      <c r="B44" s="140">
        <v>42710.333333333336</v>
      </c>
      <c r="C44" s="140">
        <v>42716.333333333336</v>
      </c>
      <c r="D44" s="153">
        <f>(C44-B44)*24</f>
        <v>144</v>
      </c>
      <c r="E44" s="140" t="s">
        <v>69</v>
      </c>
      <c r="F44" s="141"/>
      <c r="G44" s="142"/>
      <c r="H44" s="140"/>
      <c r="I44" s="140"/>
      <c r="J44" s="153">
        <f>(I44-H44)*24</f>
        <v>0</v>
      </c>
      <c r="K44" s="153">
        <f>(I44-H44)*24</f>
        <v>0</v>
      </c>
      <c r="L44" s="143"/>
      <c r="M44" s="144"/>
      <c r="N44" s="144"/>
      <c r="O44" s="145" t="s">
        <v>21</v>
      </c>
      <c r="P44" s="140"/>
      <c r="Q44" s="35">
        <f t="shared" si="0"/>
      </c>
      <c r="R44" s="35">
        <f t="shared" si="1"/>
        <v>1</v>
      </c>
      <c r="S44" s="35">
        <f t="shared" si="2"/>
      </c>
      <c r="T44" s="36">
        <f t="shared" si="5"/>
        <v>1</v>
      </c>
      <c r="U44" s="135"/>
      <c r="V44" s="135"/>
      <c r="W44" s="135"/>
    </row>
    <row r="45" spans="1:23" s="34" customFormat="1" ht="12.75">
      <c r="A45" s="124"/>
      <c r="B45" s="125"/>
      <c r="C45" s="125"/>
      <c r="D45" s="126">
        <f>SUM(D44:D44)</f>
        <v>144</v>
      </c>
      <c r="E45" s="127"/>
      <c r="F45" s="128"/>
      <c r="G45" s="129"/>
      <c r="H45" s="130"/>
      <c r="I45" s="130"/>
      <c r="J45" s="157">
        <f>SUM(J44:J44)</f>
        <v>0</v>
      </c>
      <c r="K45" s="157">
        <f>SUM(K44:K44)</f>
        <v>0</v>
      </c>
      <c r="L45" s="131"/>
      <c r="M45" s="132"/>
      <c r="N45" s="132"/>
      <c r="O45" s="133"/>
      <c r="P45" s="127"/>
      <c r="Q45" s="35">
        <f t="shared" si="0"/>
      </c>
      <c r="R45" s="35">
        <f t="shared" si="1"/>
      </c>
      <c r="S45" s="35">
        <f t="shared" si="2"/>
      </c>
      <c r="T45" s="36">
        <f t="shared" si="5"/>
        <v>0</v>
      </c>
      <c r="U45" s="30"/>
      <c r="V45" s="30"/>
      <c r="W45" s="30"/>
    </row>
    <row r="46" spans="1:23" s="136" customFormat="1" ht="15.75" customHeight="1">
      <c r="A46" s="139">
        <v>26</v>
      </c>
      <c r="B46" s="140">
        <v>42717.333333333336</v>
      </c>
      <c r="C46" s="140">
        <v>42723.333333333336</v>
      </c>
      <c r="D46" s="153">
        <f>(C46-B46)*24</f>
        <v>144</v>
      </c>
      <c r="E46" s="140" t="s">
        <v>69</v>
      </c>
      <c r="F46" s="141"/>
      <c r="G46" s="142"/>
      <c r="H46" s="140"/>
      <c r="I46" s="140"/>
      <c r="J46" s="153">
        <f>(I46-H46)*24</f>
        <v>0</v>
      </c>
      <c r="K46" s="153">
        <f>(I46-H46)*24</f>
        <v>0</v>
      </c>
      <c r="L46" s="143"/>
      <c r="M46" s="144"/>
      <c r="N46" s="144"/>
      <c r="O46" s="145" t="s">
        <v>21</v>
      </c>
      <c r="P46" s="140"/>
      <c r="Q46" s="35">
        <f t="shared" si="0"/>
      </c>
      <c r="R46" s="35">
        <f t="shared" si="1"/>
        <v>1</v>
      </c>
      <c r="S46" s="35">
        <f t="shared" si="2"/>
      </c>
      <c r="T46" s="36">
        <f>SUM(Q46:S46)</f>
        <v>1</v>
      </c>
      <c r="U46" s="135"/>
      <c r="V46" s="135"/>
      <c r="W46" s="135"/>
    </row>
    <row r="47" spans="1:23" s="34" customFormat="1" ht="12.75">
      <c r="A47" s="124"/>
      <c r="B47" s="125"/>
      <c r="C47" s="125"/>
      <c r="D47" s="126">
        <f>SUM(D46:D46)</f>
        <v>144</v>
      </c>
      <c r="E47" s="127"/>
      <c r="F47" s="128"/>
      <c r="G47" s="129"/>
      <c r="H47" s="130"/>
      <c r="I47" s="130"/>
      <c r="J47" s="157">
        <f>SUM(J46:J46)</f>
        <v>0</v>
      </c>
      <c r="K47" s="157">
        <f>SUM(K46:K46)</f>
        <v>0</v>
      </c>
      <c r="L47" s="131"/>
      <c r="M47" s="132"/>
      <c r="N47" s="132"/>
      <c r="O47" s="133"/>
      <c r="P47" s="127"/>
      <c r="Q47" s="35">
        <f t="shared" si="0"/>
      </c>
      <c r="R47" s="35">
        <f t="shared" si="1"/>
      </c>
      <c r="S47" s="35">
        <f t="shared" si="2"/>
      </c>
      <c r="T47" s="36">
        <f>SUM(Q47:S47)</f>
        <v>0</v>
      </c>
      <c r="U47" s="30"/>
      <c r="V47" s="30"/>
      <c r="W47" s="30"/>
    </row>
    <row r="48" spans="1:20" ht="12.75">
      <c r="A48" s="85"/>
      <c r="B48" s="86"/>
      <c r="C48" s="86"/>
      <c r="D48" s="49"/>
      <c r="E48" s="87"/>
      <c r="F48" s="88"/>
      <c r="G48" s="89"/>
      <c r="H48" s="86"/>
      <c r="I48" s="86"/>
      <c r="J48" s="90"/>
      <c r="K48" s="90"/>
      <c r="L48" s="91"/>
      <c r="M48" s="92"/>
      <c r="N48" s="92"/>
      <c r="O48" s="93"/>
      <c r="P48" s="87"/>
      <c r="Q48" s="30"/>
      <c r="R48" s="30"/>
      <c r="S48" s="30"/>
      <c r="T48" s="30"/>
    </row>
    <row r="49" spans="1:20" ht="12.75">
      <c r="A49" s="85"/>
      <c r="B49" s="86"/>
      <c r="C49" s="86"/>
      <c r="D49" s="49"/>
      <c r="E49" s="87"/>
      <c r="F49" s="88"/>
      <c r="G49" s="89"/>
      <c r="H49" s="86"/>
      <c r="I49" s="86"/>
      <c r="J49" s="90"/>
      <c r="K49" s="90"/>
      <c r="L49" s="91"/>
      <c r="M49" s="92"/>
      <c r="N49" s="92"/>
      <c r="O49" s="93"/>
      <c r="P49" s="87"/>
      <c r="Q49" s="30"/>
      <c r="R49" s="30"/>
      <c r="S49" s="30"/>
      <c r="T49" s="30"/>
    </row>
    <row r="50" spans="1:18" ht="12.75">
      <c r="A50" s="28"/>
      <c r="B50" s="14"/>
      <c r="C50" s="37" t="s">
        <v>26</v>
      </c>
      <c r="D50" s="38">
        <f>Q52</f>
        <v>14</v>
      </c>
      <c r="E50" s="16"/>
      <c r="F50" s="29"/>
      <c r="G50" s="18"/>
      <c r="H50" s="19"/>
      <c r="I50" s="19"/>
      <c r="J50" s="39" t="s">
        <v>27</v>
      </c>
      <c r="K50" s="40"/>
      <c r="L50" s="21"/>
      <c r="M50" s="22"/>
      <c r="N50" s="22"/>
      <c r="O50" s="41"/>
      <c r="P50" s="23"/>
      <c r="R50" s="12">
        <f>IF($L50="Scheduled",1,"")</f>
      </c>
    </row>
    <row r="51" spans="1:18" ht="12.75">
      <c r="A51" s="28"/>
      <c r="B51" s="14"/>
      <c r="C51" s="37" t="s">
        <v>28</v>
      </c>
      <c r="D51" s="38">
        <f>D52-D50</f>
        <v>10</v>
      </c>
      <c r="E51" s="16"/>
      <c r="F51" s="29"/>
      <c r="G51" s="18"/>
      <c r="H51" s="19"/>
      <c r="I51" s="19"/>
      <c r="J51" s="15" t="s">
        <v>29</v>
      </c>
      <c r="K51" s="42" t="s">
        <v>13</v>
      </c>
      <c r="L51" s="21"/>
      <c r="M51" s="22"/>
      <c r="N51" s="22"/>
      <c r="O51" s="41"/>
      <c r="P51" s="23"/>
      <c r="R51" s="12">
        <f>IF($L51="Scheduled",1,"")</f>
      </c>
    </row>
    <row r="52" spans="1:29" ht="12.75">
      <c r="A52" s="28"/>
      <c r="B52" s="14"/>
      <c r="C52" s="37" t="s">
        <v>30</v>
      </c>
      <c r="D52" s="43">
        <f>COUNT(A5:A48)</f>
        <v>24</v>
      </c>
      <c r="E52" s="16"/>
      <c r="F52" s="29"/>
      <c r="G52" s="18"/>
      <c r="H52" s="19"/>
      <c r="I52" s="19"/>
      <c r="J52" s="44">
        <f>SUM(J5:J48)/2</f>
        <v>21.666666666569654</v>
      </c>
      <c r="K52" s="44">
        <f>SUM(K5:K48)/2</f>
        <v>21.666666666569654</v>
      </c>
      <c r="L52" s="21"/>
      <c r="M52" s="22"/>
      <c r="N52" s="22"/>
      <c r="O52" s="41"/>
      <c r="P52" s="23"/>
      <c r="Q52" s="43">
        <f>SUM(Q1:Q48)</f>
        <v>14</v>
      </c>
      <c r="R52" s="43">
        <f>SUM(R1:R48)</f>
        <v>10</v>
      </c>
      <c r="S52" s="43">
        <f>SUM(S1:S48)</f>
        <v>6</v>
      </c>
      <c r="T52" s="43">
        <f>SUM(T1:T48)</f>
        <v>30</v>
      </c>
      <c r="AA52" s="30"/>
      <c r="AB52" s="30"/>
      <c r="AC52" s="30"/>
    </row>
    <row r="53" spans="1:19" ht="12.75">
      <c r="A53" s="28"/>
      <c r="B53" s="14"/>
      <c r="C53" s="37"/>
      <c r="D53" s="15"/>
      <c r="E53" s="16"/>
      <c r="F53" s="29"/>
      <c r="G53" s="18"/>
      <c r="H53" s="19"/>
      <c r="I53" s="19"/>
      <c r="J53" s="15"/>
      <c r="K53" s="20"/>
      <c r="L53" s="21"/>
      <c r="M53" s="22"/>
      <c r="N53" s="22"/>
      <c r="O53" s="21"/>
      <c r="P53" s="23"/>
      <c r="Q53" s="12" t="s">
        <v>31</v>
      </c>
      <c r="R53" s="45" t="s">
        <v>21</v>
      </c>
      <c r="S53" s="12" t="s">
        <v>32</v>
      </c>
    </row>
    <row r="54" spans="1:26" ht="12.75">
      <c r="A54" s="28"/>
      <c r="B54" s="14"/>
      <c r="C54" s="37" t="s">
        <v>33</v>
      </c>
      <c r="D54" s="15">
        <f>SUM(D5:D48)/2</f>
        <v>1539.3333333334303</v>
      </c>
      <c r="E54" s="46">
        <f>D54/24</f>
        <v>64.13888888889294</v>
      </c>
      <c r="F54" s="47" t="s">
        <v>34</v>
      </c>
      <c r="G54" s="18"/>
      <c r="H54" s="19"/>
      <c r="I54" s="19"/>
      <c r="J54" s="15"/>
      <c r="K54" s="20"/>
      <c r="L54" s="21"/>
      <c r="M54" s="22"/>
      <c r="N54" s="22"/>
      <c r="O54" s="21"/>
      <c r="P54" s="23"/>
      <c r="Q54" s="12">
        <f>IF($O56="Store Lost",1,"")</f>
      </c>
      <c r="T54" s="48"/>
      <c r="U54" s="30"/>
      <c r="V54" s="30"/>
      <c r="W54" s="30"/>
      <c r="X54" s="30"/>
      <c r="Y54" s="30"/>
      <c r="Z54" s="30"/>
    </row>
    <row r="55" spans="1:17" ht="12.75">
      <c r="A55" s="28"/>
      <c r="B55" s="14"/>
      <c r="C55" s="37" t="s">
        <v>35</v>
      </c>
      <c r="D55" s="15">
        <f>J52</f>
        <v>21.666666666569654</v>
      </c>
      <c r="E55" s="16" t="s">
        <v>36</v>
      </c>
      <c r="F55" s="29"/>
      <c r="G55" s="18"/>
      <c r="H55" s="19"/>
      <c r="I55" s="19"/>
      <c r="J55" s="15"/>
      <c r="K55" s="20"/>
      <c r="L55" s="21"/>
      <c r="M55" s="22"/>
      <c r="N55" s="22"/>
      <c r="O55" s="21"/>
      <c r="P55" s="23"/>
      <c r="Q55" s="12">
        <f>IF($O57="Store Lost",1,"")</f>
      </c>
    </row>
    <row r="56" spans="1:17" ht="12.75">
      <c r="A56" s="28"/>
      <c r="B56" s="14"/>
      <c r="C56" s="37" t="s">
        <v>37</v>
      </c>
      <c r="D56" s="43">
        <f>SUM(D54:D55)</f>
        <v>1561</v>
      </c>
      <c r="E56" s="46"/>
      <c r="F56" s="29"/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12" t="e">
        <f>IF(#REF!="Store Lost",1,"")</f>
        <v>#REF!</v>
      </c>
    </row>
    <row r="57" spans="1:18" ht="12.75">
      <c r="A57" s="28"/>
      <c r="B57" s="14"/>
      <c r="C57" s="37"/>
      <c r="D57" s="49"/>
      <c r="E57" s="50"/>
      <c r="F57" s="29"/>
      <c r="G57" s="18"/>
      <c r="H57" s="15"/>
      <c r="I57" s="19"/>
      <c r="J57" s="15"/>
      <c r="K57" s="20"/>
      <c r="L57" s="21"/>
      <c r="M57" s="22"/>
      <c r="N57" s="22"/>
      <c r="O57" s="21"/>
      <c r="P57" s="23"/>
      <c r="Q57" s="51">
        <f>Q52+R52</f>
        <v>24</v>
      </c>
      <c r="R57" s="12">
        <f>IF($P58="Store Lost",1,"")</f>
      </c>
    </row>
    <row r="58" spans="1:18" ht="12.75">
      <c r="A58" s="28"/>
      <c r="B58" s="14"/>
      <c r="C58" s="37" t="s">
        <v>38</v>
      </c>
      <c r="D58" s="52">
        <f>IF(D50,D54/D50,D54)</f>
        <v>109.95238095238788</v>
      </c>
      <c r="E58" s="16"/>
      <c r="F58" s="29"/>
      <c r="G58" s="18"/>
      <c r="J58" s="7"/>
      <c r="K58" s="53"/>
      <c r="Q58" s="23"/>
      <c r="R58" s="12">
        <f>IF($P60="Store Lost",1,"")</f>
      </c>
    </row>
    <row r="59" spans="1:18" ht="12.75">
      <c r="A59" s="28"/>
      <c r="B59" s="14"/>
      <c r="C59" s="37" t="s">
        <v>39</v>
      </c>
      <c r="D59" s="49">
        <f>IF(D50,24/D58,0)</f>
        <v>0.2182763100909347</v>
      </c>
      <c r="E59" s="54"/>
      <c r="F59" s="55"/>
      <c r="G59" s="56"/>
      <c r="K59" s="53"/>
      <c r="Q59" s="23"/>
      <c r="R59" s="12" t="e">
        <f>NA()</f>
        <v>#N/A</v>
      </c>
    </row>
    <row r="60" spans="1:18" ht="27" customHeight="1">
      <c r="A60" s="28"/>
      <c r="B60" s="14"/>
      <c r="C60" s="37" t="s">
        <v>40</v>
      </c>
      <c r="D60" s="57">
        <f>D54/D56</f>
        <v>0.9861200085415953</v>
      </c>
      <c r="E60" s="58"/>
      <c r="F60" s="29"/>
      <c r="G60" s="18"/>
      <c r="K60" s="53"/>
      <c r="Q60" s="23"/>
      <c r="R60" s="12" t="e">
        <f>NA()</f>
        <v>#N/A</v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aca="true" t="shared" si="6" ref="R61:R70">IF($P63="Store Lost",1,"")</f>
      </c>
    </row>
    <row r="62" spans="1:29" s="59" customFormat="1" ht="12.75">
      <c r="A62" s="28"/>
      <c r="B62" s="14"/>
      <c r="C62" s="14"/>
      <c r="D62" s="15"/>
      <c r="E62" s="16"/>
      <c r="F62" s="29"/>
      <c r="G62" s="18"/>
      <c r="H62" s="7"/>
      <c r="I62" s="7"/>
      <c r="J62" s="3"/>
      <c r="K62" s="53"/>
      <c r="L62" s="9"/>
      <c r="M62" s="10"/>
      <c r="N62" s="10"/>
      <c r="O62" s="9"/>
      <c r="P62" s="11"/>
      <c r="Q62" s="23"/>
      <c r="R62" s="12">
        <f t="shared" si="6"/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6"/>
      </c>
    </row>
    <row r="64" spans="1:18" ht="12.75">
      <c r="A64" s="28"/>
      <c r="B64" s="14"/>
      <c r="C64" s="14"/>
      <c r="D64" s="15"/>
      <c r="E64" s="16"/>
      <c r="F64" s="29"/>
      <c r="G64" s="18"/>
      <c r="K64" s="53"/>
      <c r="Q64" s="23"/>
      <c r="R64" s="12">
        <f t="shared" si="6"/>
      </c>
    </row>
    <row r="65" spans="1:18" ht="12.75">
      <c r="A65" s="28"/>
      <c r="B65" s="14"/>
      <c r="C65" s="14"/>
      <c r="D65" s="15"/>
      <c r="E65" s="16"/>
      <c r="F65" s="29"/>
      <c r="G65" s="18"/>
      <c r="K65" s="53"/>
      <c r="Q65" s="23"/>
      <c r="R65" s="12">
        <f t="shared" si="6"/>
      </c>
    </row>
    <row r="66" spans="1:18" ht="12.75">
      <c r="A66" s="28"/>
      <c r="B66" s="14"/>
      <c r="C66" s="14"/>
      <c r="D66" s="15"/>
      <c r="E66" s="16"/>
      <c r="F66" s="29"/>
      <c r="G66" s="18"/>
      <c r="K66" s="53"/>
      <c r="Q66" s="23"/>
      <c r="R66" s="12">
        <f t="shared" si="6"/>
      </c>
    </row>
    <row r="67" spans="1:18" ht="12.75">
      <c r="A67" s="28"/>
      <c r="B67" s="14"/>
      <c r="C67" s="14"/>
      <c r="D67" s="15"/>
      <c r="E67" s="16"/>
      <c r="F67" s="29"/>
      <c r="G67" s="18"/>
      <c r="K67" s="53"/>
      <c r="Q67" s="23"/>
      <c r="R67" s="12">
        <f t="shared" si="6"/>
      </c>
    </row>
    <row r="68" spans="1:18" ht="12.75">
      <c r="A68" s="28"/>
      <c r="B68" s="14"/>
      <c r="C68" s="14"/>
      <c r="D68" s="15"/>
      <c r="E68" s="16"/>
      <c r="F68" s="29"/>
      <c r="G68" s="18"/>
      <c r="K68" s="53"/>
      <c r="Q68" s="23"/>
      <c r="R68" s="12">
        <f t="shared" si="6"/>
      </c>
    </row>
    <row r="69" spans="1:18" ht="12.75">
      <c r="A69" s="28"/>
      <c r="B69" s="14"/>
      <c r="C69" s="14"/>
      <c r="D69" s="15"/>
      <c r="E69" s="16"/>
      <c r="F69" s="29"/>
      <c r="G69" s="18"/>
      <c r="K69" s="53"/>
      <c r="Q69" s="23"/>
      <c r="R69" s="12">
        <f t="shared" si="6"/>
      </c>
    </row>
    <row r="70" spans="1:18" ht="12.75">
      <c r="A70" s="28"/>
      <c r="B70" s="14"/>
      <c r="C70" s="14"/>
      <c r="D70" s="15"/>
      <c r="E70" s="16"/>
      <c r="F70" s="29"/>
      <c r="G70" s="18"/>
      <c r="K70" s="53"/>
      <c r="Q70" s="23"/>
      <c r="R70" s="12">
        <f t="shared" si="6"/>
      </c>
    </row>
    <row r="71" spans="1:29" s="60" customFormat="1" ht="12.75">
      <c r="A71" s="28"/>
      <c r="B71" s="14"/>
      <c r="C71" s="14"/>
      <c r="D71" s="15"/>
      <c r="E71" s="16"/>
      <c r="F71" s="29"/>
      <c r="G71" s="18"/>
      <c r="H71" s="7"/>
      <c r="I71" s="7"/>
      <c r="J71" s="3"/>
      <c r="K71" s="53"/>
      <c r="L71" s="9"/>
      <c r="M71" s="10"/>
      <c r="N71" s="10"/>
      <c r="O71" s="9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s="30" customFormat="1" ht="12.75">
      <c r="A72" s="28"/>
      <c r="B72" s="14"/>
      <c r="C72" s="14"/>
      <c r="D72" s="15"/>
      <c r="E72" s="16"/>
      <c r="F72" s="29"/>
      <c r="G72" s="18"/>
      <c r="H72" s="7"/>
      <c r="I72" s="7"/>
      <c r="J72" s="3"/>
      <c r="K72" s="53"/>
      <c r="L72" s="9"/>
      <c r="M72" s="10"/>
      <c r="N72" s="10"/>
      <c r="O72" s="9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59"/>
      <c r="AB72" s="59"/>
      <c r="AC72" s="59"/>
    </row>
    <row r="73" spans="1:16" ht="12.75">
      <c r="A73" s="28"/>
      <c r="B73" s="14"/>
      <c r="C73" s="14"/>
      <c r="D73" s="15"/>
      <c r="E73" s="16"/>
      <c r="F73" s="29"/>
      <c r="G73" s="18"/>
      <c r="H73" s="19"/>
      <c r="I73" s="19"/>
      <c r="J73" s="15"/>
      <c r="K73" s="20"/>
      <c r="L73" s="21"/>
      <c r="M73" s="22"/>
      <c r="N73" s="22"/>
      <c r="O73" s="21"/>
      <c r="P73" s="23"/>
    </row>
    <row r="74" spans="1:26" ht="12.75">
      <c r="A74" s="28"/>
      <c r="B74" s="14"/>
      <c r="C74" s="14"/>
      <c r="E74" s="16"/>
      <c r="F74" s="29"/>
      <c r="G74" s="18"/>
      <c r="H74" s="19"/>
      <c r="I74" s="19"/>
      <c r="L74" s="21"/>
      <c r="M74" s="22"/>
      <c r="N74" s="22"/>
      <c r="O74" s="21"/>
      <c r="P74" s="23"/>
      <c r="U74" s="59"/>
      <c r="V74" s="59"/>
      <c r="W74" s="59"/>
      <c r="X74" s="59"/>
      <c r="Y74" s="59"/>
      <c r="Z74" s="59"/>
    </row>
    <row r="75" spans="1:16" ht="12.75">
      <c r="A75" s="28"/>
      <c r="B75" s="14"/>
      <c r="C75" s="14"/>
      <c r="E75" s="16"/>
      <c r="F75" s="29"/>
      <c r="G75" s="18"/>
      <c r="H75" s="19"/>
      <c r="I75" s="19"/>
      <c r="L75" s="21"/>
      <c r="M75" s="22"/>
      <c r="N75" s="22"/>
      <c r="O75" s="21"/>
      <c r="P75" s="23"/>
    </row>
    <row r="76" spans="1:16" ht="12.75">
      <c r="A76" s="28"/>
      <c r="B76" s="14"/>
      <c r="C76" s="14"/>
      <c r="E76" s="16"/>
      <c r="F76" s="29"/>
      <c r="G76" s="18"/>
      <c r="H76" s="19"/>
      <c r="I76" s="19"/>
      <c r="L76" s="21"/>
      <c r="M76" s="22"/>
      <c r="N76" s="22"/>
      <c r="O76" s="21"/>
      <c r="P76" s="23"/>
    </row>
    <row r="77" spans="1:16" ht="12.75">
      <c r="A77" s="28"/>
      <c r="B77" s="14"/>
      <c r="C77" s="14"/>
      <c r="F77" s="29"/>
      <c r="G77" s="18"/>
      <c r="H77" s="19"/>
      <c r="I77" s="19"/>
      <c r="L77" s="21"/>
      <c r="M77" s="22"/>
      <c r="N77" s="22"/>
      <c r="O77" s="21"/>
      <c r="P77" s="23"/>
    </row>
    <row r="78" spans="1:20" ht="12.75">
      <c r="A78" s="28"/>
      <c r="B78" s="14"/>
      <c r="C78" s="14"/>
      <c r="F78" s="29"/>
      <c r="G78" s="18"/>
      <c r="H78" s="19"/>
      <c r="I78" s="19"/>
      <c r="L78" s="21"/>
      <c r="M78" s="22"/>
      <c r="N78" s="22"/>
      <c r="O78" s="21"/>
      <c r="P78" s="23"/>
      <c r="R78" s="59"/>
      <c r="S78" s="59"/>
      <c r="T78" s="59"/>
    </row>
    <row r="79" spans="2:16" ht="12.75">
      <c r="B79" s="14"/>
      <c r="C79" s="14"/>
      <c r="F79" s="29"/>
      <c r="G79" s="18"/>
      <c r="H79" s="19"/>
      <c r="I79" s="19"/>
      <c r="L79" s="21"/>
      <c r="M79" s="22"/>
      <c r="N79" s="22"/>
      <c r="O79" s="21"/>
      <c r="P79" s="23"/>
    </row>
    <row r="80" spans="2:17" ht="12.75">
      <c r="B80" s="14"/>
      <c r="C80" s="14"/>
      <c r="F80" s="29"/>
      <c r="G80" s="18"/>
      <c r="H80" s="19"/>
      <c r="I80" s="19"/>
      <c r="L80" s="21"/>
      <c r="M80" s="22"/>
      <c r="N80" s="22"/>
      <c r="O80" s="21"/>
      <c r="P80" s="23"/>
      <c r="Q80" s="12">
        <f aca="true" t="shared" si="7" ref="Q80:Q111">IF($O82="Store Lost",1,"")</f>
      </c>
    </row>
    <row r="81" spans="2:29" ht="12.75"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  <c r="Q81" s="12">
        <f t="shared" si="7"/>
      </c>
      <c r="AA81" s="60"/>
      <c r="AB81" s="60"/>
      <c r="AC81" s="60"/>
    </row>
    <row r="82" spans="2:29" ht="12.75">
      <c r="B82" s="14"/>
      <c r="C82" s="14"/>
      <c r="Q82" s="12">
        <f t="shared" si="7"/>
      </c>
      <c r="AA82" s="30"/>
      <c r="AB82" s="30"/>
      <c r="AC82" s="30"/>
    </row>
    <row r="83" spans="17:26" ht="12.75">
      <c r="Q83" s="12">
        <f t="shared" si="7"/>
      </c>
      <c r="U83" s="60"/>
      <c r="V83" s="60"/>
      <c r="W83" s="60"/>
      <c r="X83" s="60"/>
      <c r="Y83" s="60"/>
      <c r="Z83" s="60"/>
    </row>
    <row r="84" spans="17:26" ht="12.75">
      <c r="Q84" s="12">
        <f t="shared" si="7"/>
      </c>
      <c r="U84" s="30"/>
      <c r="V84" s="30"/>
      <c r="W84" s="30"/>
      <c r="X84" s="30"/>
      <c r="Y84" s="30"/>
      <c r="Z84" s="30"/>
    </row>
    <row r="85" spans="1:29" s="59" customFormat="1" ht="12.75">
      <c r="A85" s="1"/>
      <c r="B85" s="2"/>
      <c r="C85" s="2"/>
      <c r="D85" s="3"/>
      <c r="E85" s="4"/>
      <c r="F85" s="5"/>
      <c r="G85" s="6"/>
      <c r="H85" s="7"/>
      <c r="I85" s="7"/>
      <c r="J85" s="3"/>
      <c r="K85" s="8"/>
      <c r="L85" s="9"/>
      <c r="M85" s="10"/>
      <c r="N85" s="10"/>
      <c r="O85" s="9"/>
      <c r="P85" s="11"/>
      <c r="Q85" s="12">
        <f t="shared" si="7"/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ht="12.75">
      <c r="Q86" s="12">
        <f t="shared" si="7"/>
      </c>
    </row>
    <row r="87" spans="17:20" ht="12.75">
      <c r="Q87" s="12">
        <f t="shared" si="7"/>
      </c>
      <c r="R87" s="60"/>
      <c r="S87" s="60"/>
      <c r="T87" s="60"/>
    </row>
    <row r="88" spans="17:20" ht="12.75">
      <c r="Q88" s="12">
        <f t="shared" si="7"/>
      </c>
      <c r="R88" s="30"/>
      <c r="S88" s="30"/>
      <c r="T88" s="30"/>
    </row>
    <row r="89" ht="12.75">
      <c r="Q89" s="12">
        <f t="shared" si="7"/>
      </c>
    </row>
    <row r="90" ht="12.75">
      <c r="Q90" s="12">
        <f t="shared" si="7"/>
      </c>
    </row>
    <row r="91" ht="12.75">
      <c r="Q91" s="12">
        <f t="shared" si="7"/>
      </c>
    </row>
    <row r="92" ht="12.75">
      <c r="Q92" s="12">
        <f t="shared" si="7"/>
      </c>
    </row>
    <row r="93" ht="12.75">
      <c r="Q93" s="12">
        <f t="shared" si="7"/>
      </c>
    </row>
    <row r="94" ht="12.75">
      <c r="Q94" s="12">
        <f t="shared" si="7"/>
      </c>
    </row>
    <row r="95" spans="17:29" ht="12.75">
      <c r="Q95" s="12">
        <f t="shared" si="7"/>
      </c>
      <c r="AA95" s="59"/>
      <c r="AB95" s="59"/>
      <c r="AC95" s="59"/>
    </row>
    <row r="96" ht="12.75">
      <c r="Q96" s="12">
        <f t="shared" si="7"/>
      </c>
    </row>
    <row r="97" spans="17:26" ht="12.75">
      <c r="Q97" s="12">
        <f t="shared" si="7"/>
      </c>
      <c r="U97" s="59"/>
      <c r="V97" s="59"/>
      <c r="W97" s="59"/>
      <c r="X97" s="59"/>
      <c r="Y97" s="59"/>
      <c r="Z97" s="59"/>
    </row>
    <row r="98" spans="1:29" s="59" customFormat="1" ht="12.75">
      <c r="A98" s="1"/>
      <c r="B98" s="2"/>
      <c r="C98" s="2"/>
      <c r="D98" s="3"/>
      <c r="E98" s="4"/>
      <c r="F98" s="5"/>
      <c r="G98" s="6"/>
      <c r="H98" s="7"/>
      <c r="I98" s="7"/>
      <c r="J98" s="3"/>
      <c r="K98" s="8"/>
      <c r="L98" s="9"/>
      <c r="M98" s="10"/>
      <c r="N98" s="10"/>
      <c r="O98" s="9"/>
      <c r="P98" s="11"/>
      <c r="Q98" s="12">
        <f t="shared" si="7"/>
      </c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s="30" customFormat="1" ht="12.75">
      <c r="A99" s="1"/>
      <c r="B99" s="2"/>
      <c r="C99" s="2"/>
      <c r="D99" s="3"/>
      <c r="E99" s="4"/>
      <c r="F99" s="5"/>
      <c r="G99" s="6"/>
      <c r="H99" s="7"/>
      <c r="I99" s="7"/>
      <c r="J99" s="3"/>
      <c r="K99" s="8"/>
      <c r="L99" s="9"/>
      <c r="M99" s="10"/>
      <c r="N99" s="10"/>
      <c r="O99" s="9"/>
      <c r="P99" s="11"/>
      <c r="Q99" s="12">
        <f t="shared" si="7"/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s="59" customFormat="1" ht="12.75">
      <c r="A100" s="1"/>
      <c r="B100" s="2"/>
      <c r="C100" s="2"/>
      <c r="D100" s="3"/>
      <c r="E100" s="4"/>
      <c r="F100" s="5"/>
      <c r="G100" s="6"/>
      <c r="H100" s="7"/>
      <c r="I100" s="7"/>
      <c r="J100" s="3"/>
      <c r="K100" s="8"/>
      <c r="L100" s="9"/>
      <c r="M100" s="10"/>
      <c r="N100" s="10"/>
      <c r="O100" s="9"/>
      <c r="P100" s="11"/>
      <c r="Q100" s="12">
        <f t="shared" si="7"/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7:20" ht="12.75">
      <c r="Q101" s="12">
        <f t="shared" si="7"/>
      </c>
      <c r="R101" s="59"/>
      <c r="S101" s="59"/>
      <c r="T101" s="59"/>
    </row>
    <row r="102" ht="12.75">
      <c r="Q102" s="12">
        <f t="shared" si="7"/>
      </c>
    </row>
    <row r="103" ht="12.75">
      <c r="Q103" s="12">
        <f t="shared" si="7"/>
      </c>
    </row>
    <row r="104" ht="12.75">
      <c r="Q104" s="12">
        <f t="shared" si="7"/>
      </c>
    </row>
    <row r="105" ht="12.75">
      <c r="Q105" s="12">
        <f t="shared" si="7"/>
      </c>
    </row>
    <row r="106" ht="12.75">
      <c r="Q106" s="12">
        <f t="shared" si="7"/>
      </c>
    </row>
    <row r="107" ht="12.75">
      <c r="Q107" s="12">
        <f t="shared" si="7"/>
      </c>
    </row>
    <row r="108" spans="17:29" ht="12.75">
      <c r="Q108" s="12">
        <f t="shared" si="7"/>
      </c>
      <c r="AA108" s="59"/>
      <c r="AB108" s="59"/>
      <c r="AC108" s="59"/>
    </row>
    <row r="109" spans="17:29" ht="12.75">
      <c r="Q109" s="12">
        <f t="shared" si="7"/>
      </c>
      <c r="AA109" s="30"/>
      <c r="AB109" s="30"/>
      <c r="AC109" s="30"/>
    </row>
    <row r="110" spans="17:29" ht="12.75">
      <c r="Q110" s="12">
        <f t="shared" si="7"/>
      </c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17:26" ht="12.75">
      <c r="Q111" s="12">
        <f t="shared" si="7"/>
      </c>
      <c r="U111" s="30"/>
      <c r="V111" s="30"/>
      <c r="W111" s="30"/>
      <c r="X111" s="30"/>
      <c r="Y111" s="30"/>
      <c r="Z111" s="30"/>
    </row>
    <row r="112" spans="17:26" ht="12.75">
      <c r="Q112" s="12">
        <f aca="true" t="shared" si="8" ref="Q112:Q137">IF($O114="Store Lost",1,"")</f>
      </c>
      <c r="U112" s="59"/>
      <c r="V112" s="59"/>
      <c r="W112" s="59"/>
      <c r="X112" s="59"/>
      <c r="Y112" s="59"/>
      <c r="Z112" s="59"/>
    </row>
    <row r="113" ht="12.75">
      <c r="Q113" s="12">
        <f t="shared" si="8"/>
      </c>
    </row>
    <row r="114" spans="17:20" ht="12.75">
      <c r="Q114" s="12">
        <f t="shared" si="8"/>
      </c>
      <c r="R114" s="59"/>
      <c r="S114" s="59"/>
      <c r="T114" s="59"/>
    </row>
    <row r="115" spans="17:20" ht="12.75">
      <c r="Q115" s="12">
        <f t="shared" si="8"/>
      </c>
      <c r="R115" s="30"/>
      <c r="S115" s="30"/>
      <c r="T115" s="30"/>
    </row>
    <row r="116" spans="17:20" ht="12.75">
      <c r="Q116" s="12">
        <f t="shared" si="8"/>
      </c>
      <c r="R116" s="59"/>
      <c r="S116" s="59"/>
      <c r="T116" s="59"/>
    </row>
    <row r="117" ht="12.75">
      <c r="Q117" s="12">
        <f t="shared" si="8"/>
      </c>
    </row>
    <row r="118" ht="12.75">
      <c r="Q118" s="12">
        <f t="shared" si="8"/>
      </c>
    </row>
    <row r="119" ht="12.75">
      <c r="Q119" s="12">
        <f t="shared" si="8"/>
      </c>
    </row>
    <row r="120" ht="12.75">
      <c r="Q120" s="12">
        <f t="shared" si="8"/>
      </c>
    </row>
    <row r="121" spans="1:29" s="59" customFormat="1" ht="12.75">
      <c r="A121" s="1"/>
      <c r="B121" s="2"/>
      <c r="C121" s="2"/>
      <c r="D121" s="3"/>
      <c r="E121" s="4"/>
      <c r="F121" s="5"/>
      <c r="G121" s="6"/>
      <c r="H121" s="7"/>
      <c r="I121" s="7"/>
      <c r="J121" s="3"/>
      <c r="K121" s="8"/>
      <c r="L121" s="9"/>
      <c r="M121" s="10"/>
      <c r="N121" s="10"/>
      <c r="O121" s="9"/>
      <c r="P121" s="11"/>
      <c r="Q121" s="12">
        <f t="shared" si="8"/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ht="12.75">
      <c r="Q122" s="12">
        <f t="shared" si="8"/>
      </c>
    </row>
    <row r="123" ht="12.75">
      <c r="Q123" s="12">
        <f t="shared" si="8"/>
      </c>
    </row>
    <row r="124" ht="12.75">
      <c r="Q124" s="12">
        <f t="shared" si="8"/>
      </c>
    </row>
    <row r="125" ht="12.75">
      <c r="Q125" s="12">
        <f t="shared" si="8"/>
      </c>
    </row>
    <row r="126" ht="12.75">
      <c r="Q126" s="12">
        <f t="shared" si="8"/>
      </c>
    </row>
    <row r="127" ht="12.75">
      <c r="Q127" s="12">
        <f t="shared" si="8"/>
      </c>
    </row>
    <row r="128" ht="12.75">
      <c r="Q128" s="12">
        <f t="shared" si="8"/>
      </c>
    </row>
    <row r="129" ht="12.75">
      <c r="Q129" s="12">
        <f t="shared" si="8"/>
      </c>
    </row>
    <row r="130" ht="12.75">
      <c r="Q130" s="12">
        <f t="shared" si="8"/>
      </c>
    </row>
    <row r="131" spans="17:29" ht="12.75">
      <c r="Q131" s="12">
        <f t="shared" si="8"/>
      </c>
      <c r="AA131" s="59"/>
      <c r="AB131" s="59"/>
      <c r="AC131" s="59"/>
    </row>
    <row r="132" ht="12.75">
      <c r="Q132" s="12">
        <f t="shared" si="8"/>
      </c>
    </row>
    <row r="133" spans="17:26" ht="12.75">
      <c r="Q133" s="12">
        <f t="shared" si="8"/>
      </c>
      <c r="U133" s="59"/>
      <c r="V133" s="59"/>
      <c r="W133" s="59"/>
      <c r="X133" s="59"/>
      <c r="Y133" s="59"/>
      <c r="Z133" s="59"/>
    </row>
    <row r="134" ht="12.75">
      <c r="Q134" s="12">
        <f t="shared" si="8"/>
      </c>
    </row>
    <row r="135" ht="12.75">
      <c r="Q135" s="12">
        <f t="shared" si="8"/>
      </c>
    </row>
    <row r="136" ht="12.75">
      <c r="Q136" s="12">
        <f t="shared" si="8"/>
      </c>
    </row>
    <row r="137" spans="17:20" ht="12.75">
      <c r="Q137" s="12">
        <f t="shared" si="8"/>
      </c>
      <c r="R137" s="59"/>
      <c r="S137" s="59"/>
      <c r="T137" s="59"/>
    </row>
    <row r="141" ht="12.75">
      <c r="Q141" s="12">
        <f>COUNT(Q48:Q137)</f>
        <v>2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4"/>
  <sheetViews>
    <sheetView zoomScale="75" zoomScaleNormal="75" zoomScalePageLayoutView="0" workbookViewId="0" topLeftCell="A4">
      <selection activeCell="H22" sqref="H22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9" width="9.8515625" style="0" customWidth="1"/>
    <col min="10" max="10" width="11.5742187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9" ht="12.75">
      <c r="A3" s="159"/>
      <c r="B3" s="96" t="s">
        <v>14</v>
      </c>
      <c r="C3" s="95"/>
      <c r="D3" s="95"/>
      <c r="E3" s="95"/>
      <c r="F3" s="95"/>
      <c r="G3" s="95"/>
      <c r="H3" s="95"/>
      <c r="I3" s="97"/>
    </row>
    <row r="4" spans="1:9" ht="12.75">
      <c r="A4" s="96" t="s">
        <v>41</v>
      </c>
      <c r="B4" s="83" t="s">
        <v>22</v>
      </c>
      <c r="C4" s="98" t="s">
        <v>23</v>
      </c>
      <c r="D4" s="98" t="s">
        <v>68</v>
      </c>
      <c r="E4" s="98" t="s">
        <v>24</v>
      </c>
      <c r="F4" s="98" t="s">
        <v>66</v>
      </c>
      <c r="G4" s="98" t="s">
        <v>75</v>
      </c>
      <c r="H4" s="98" t="s">
        <v>25</v>
      </c>
      <c r="I4" s="99" t="s">
        <v>60</v>
      </c>
    </row>
    <row r="5" spans="1:9" ht="12.75">
      <c r="A5" s="83" t="s">
        <v>42</v>
      </c>
      <c r="B5" s="100">
        <v>0</v>
      </c>
      <c r="C5" s="101">
        <v>4</v>
      </c>
      <c r="D5" s="101">
        <v>1</v>
      </c>
      <c r="E5" s="101">
        <v>0</v>
      </c>
      <c r="F5" s="101">
        <v>0</v>
      </c>
      <c r="G5" s="101">
        <v>1</v>
      </c>
      <c r="H5" s="101">
        <v>0</v>
      </c>
      <c r="I5" s="102">
        <v>6</v>
      </c>
    </row>
    <row r="6" spans="1:9" ht="12.75">
      <c r="A6" s="104" t="s">
        <v>43</v>
      </c>
      <c r="B6" s="105">
        <v>6</v>
      </c>
      <c r="C6" s="74">
        <v>4</v>
      </c>
      <c r="D6" s="74"/>
      <c r="E6" s="74">
        <v>1</v>
      </c>
      <c r="F6" s="74">
        <v>2</v>
      </c>
      <c r="G6" s="74">
        <v>0</v>
      </c>
      <c r="H6" s="74">
        <v>1</v>
      </c>
      <c r="I6" s="106">
        <v>14</v>
      </c>
    </row>
    <row r="7" spans="1:9" ht="12.75">
      <c r="A7" s="112" t="s">
        <v>67</v>
      </c>
      <c r="B7" s="154">
        <v>4.100000000093132</v>
      </c>
      <c r="C7" s="160">
        <v>12.016666666720994</v>
      </c>
      <c r="D7" s="134">
        <v>1.0999999999185093</v>
      </c>
      <c r="E7" s="134">
        <v>1.4666666665580124</v>
      </c>
      <c r="F7" s="134">
        <v>1.9500000000698492</v>
      </c>
      <c r="G7" s="134">
        <v>0.5166666666045785</v>
      </c>
      <c r="H7" s="134">
        <v>0.4999999998835847</v>
      </c>
      <c r="I7" s="113">
        <v>21.64999999984866</v>
      </c>
    </row>
    <row r="12" ht="13.5" thickBot="1"/>
    <row r="13" spans="2:19" ht="12.75">
      <c r="B13" s="61" t="s">
        <v>23</v>
      </c>
      <c r="C13" s="62" t="s">
        <v>46</v>
      </c>
      <c r="D13" s="62" t="s">
        <v>22</v>
      </c>
      <c r="E13" s="62" t="s">
        <v>47</v>
      </c>
      <c r="F13" s="62" t="s">
        <v>48</v>
      </c>
      <c r="G13" s="62" t="s">
        <v>49</v>
      </c>
      <c r="H13" s="62" t="s">
        <v>50</v>
      </c>
      <c r="I13" s="62" t="s">
        <v>51</v>
      </c>
      <c r="J13" s="62" t="s">
        <v>52</v>
      </c>
      <c r="K13" s="62" t="s">
        <v>53</v>
      </c>
      <c r="L13" s="62" t="s">
        <v>54</v>
      </c>
      <c r="M13" s="62" t="s">
        <v>55</v>
      </c>
      <c r="N13" s="62" t="s">
        <v>56</v>
      </c>
      <c r="O13" s="62" t="s">
        <v>57</v>
      </c>
      <c r="P13" s="63" t="s">
        <v>58</v>
      </c>
      <c r="Q13" s="64" t="s">
        <v>59</v>
      </c>
      <c r="R13" s="64" t="s">
        <v>60</v>
      </c>
      <c r="S13" s="65" t="s">
        <v>61</v>
      </c>
    </row>
    <row r="15" spans="1:19" s="69" customFormat="1" ht="12.75">
      <c r="A15" s="155" t="s">
        <v>72</v>
      </c>
      <c r="B15" s="67">
        <f>IF(B17,SUM(B17/B26),"")</f>
        <v>0.0076980568012306174</v>
      </c>
      <c r="C15" s="67">
        <f>IF(C17,SUM(C17/B26),"")</f>
      </c>
      <c r="D15" s="67">
        <f>IF(D17,SUM(D17/B26),"")</f>
        <v>0.00262652146066184</v>
      </c>
      <c r="E15" s="67">
        <f>IF(E17,SUM(E17/B26),"")</f>
        <v>0.0009395686525035314</v>
      </c>
      <c r="F15" s="67">
        <f>IF(F17,SUM(F17/B26),"")</f>
        <v>0.001249199231306758</v>
      </c>
      <c r="G15" s="67">
        <f>IF(G17,SUM(G17/B26),"")</f>
      </c>
      <c r="H15" s="67">
        <f>IF(H17,SUM(H17/B26),"")</f>
        <v>0.00032030749512081016</v>
      </c>
      <c r="I15" s="67">
        <f>IF(I17,SUM(I17/B26),"")</f>
        <v>0.0007046764893776484</v>
      </c>
      <c r="J15" s="67">
        <f>IF(J17,SUM(J17/C26),"")</f>
      </c>
      <c r="K15" s="67">
        <f>IF(K17,SUM(K17/B26),"")</f>
        <v>0.00033098441166212587</v>
      </c>
      <c r="L15" s="67">
        <f>IF(L17,SUM(L17/E26),"")</f>
      </c>
      <c r="M15" s="67"/>
      <c r="N15" s="67"/>
      <c r="O15" s="67">
        <f>IF(P17,SUM(P17/C26),"")</f>
      </c>
      <c r="P15" s="67">
        <f>IF(P17,SUM(P17/B26),"")</f>
      </c>
      <c r="Q15" s="67">
        <f>IF(Q17,SUM(Q17/B26),"")</f>
      </c>
      <c r="R15" s="67">
        <f>IF(R17,SUM(R17/B26),"")</f>
        <v>0.013869314541863331</v>
      </c>
      <c r="S15" s="68">
        <f>IF(S17,SUM(S17/L13),"")</f>
      </c>
    </row>
    <row r="16" spans="1:19" ht="12.75">
      <c r="A16" s="66" t="s">
        <v>62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'[1]reliabilitySummary'!$B$18</f>
        <v>0.0012000000000000001</v>
      </c>
      <c r="J16" s="70">
        <f>'[1]reliabilitySummary'!$B$19</f>
        <v>0</v>
      </c>
      <c r="K16" s="70">
        <f>'[1]reliabilitySummary'!$B$20</f>
        <v>0.0006000000000000001</v>
      </c>
      <c r="L16" s="70">
        <f>'[1]reliabilitySummary'!$B$24</f>
        <v>0.0006000000000000001</v>
      </c>
      <c r="M16" s="70">
        <f>'[1]reliabilitySummary'!$B$20</f>
        <v>0.0006000000000000001</v>
      </c>
      <c r="N16" s="70">
        <f>'[1]reliabilitySummary'!$B$26</f>
        <v>0.0006000000000000001</v>
      </c>
      <c r="O16" s="70">
        <f>'[1]reliabilitySummary'!$B$27</f>
        <v>0.0018000000000000002</v>
      </c>
      <c r="P16" s="70">
        <f>'[1]reliabilitySummary'!$B$11</f>
        <v>0.0012000000000000001</v>
      </c>
      <c r="Q16" s="70">
        <f>'[1]reliabilitySummary'!$B$28</f>
        <v>0.0006000000000000001</v>
      </c>
      <c r="R16" s="70">
        <f>SUM(B16:Q16)</f>
        <v>0.0314</v>
      </c>
      <c r="S16" s="71"/>
    </row>
    <row r="17" spans="1:19" s="69" customFormat="1" ht="12.75">
      <c r="A17" s="66" t="s">
        <v>63</v>
      </c>
      <c r="B17" s="68">
        <f>GETPIVOTDATA("Sum of System Length",$A$3,"Group","RF")</f>
        <v>12.016666666720994</v>
      </c>
      <c r="C17" s="68"/>
      <c r="D17" s="68">
        <f>GETPIVOTDATA("Sum of System Length",$A$3,"Group","PS")</f>
        <v>4.100000000093132</v>
      </c>
      <c r="E17" s="68">
        <f>GETPIVOTDATA("Sum of System Length",$A$3,"Group","CTL")</f>
        <v>1.4666666665580124</v>
      </c>
      <c r="F17" s="68">
        <f>GETPIVOTDATA("Sum of System Length",$A$3,"Group","SI")</f>
        <v>1.9500000000698492</v>
      </c>
      <c r="G17" s="68"/>
      <c r="H17" s="68">
        <f>GETPIVOTDATA("Sum of System Length",$A$3,"Group","MOM")</f>
        <v>0.4999999998835847</v>
      </c>
      <c r="I17" s="68">
        <f>GETPIVOTDATA("Sum of System Length",$A$3,"Group","AOP")</f>
        <v>1.0999999999185093</v>
      </c>
      <c r="J17" s="68"/>
      <c r="K17" s="68">
        <f>GETPIVOTDATA("Sum of System Length",$A$3,"Group","MD")</f>
        <v>0.5166666666045785</v>
      </c>
      <c r="M17" s="68"/>
      <c r="O17" s="68"/>
      <c r="P17" s="68"/>
      <c r="Q17" s="68"/>
      <c r="R17" s="72">
        <f>SUM(B17:Q17)</f>
        <v>21.64999999984866</v>
      </c>
      <c r="S17" s="73"/>
    </row>
    <row r="18" spans="1:18" ht="12.75">
      <c r="A18" s="75" t="s">
        <v>64</v>
      </c>
      <c r="B18">
        <f>GETPIVOTDATA("Sum - Store Lost",$A$3,"Group","RF")</f>
        <v>4</v>
      </c>
      <c r="D18">
        <f>GETPIVOTDATA("Sum - Store Lost",$A$3,"Group","PS")</f>
        <v>6</v>
      </c>
      <c r="E18">
        <f>GETPIVOTDATA("Sum - Store Lost",$A$3,"Group","CTL")</f>
        <v>1</v>
      </c>
      <c r="F18">
        <f>GETPIVOTDATA("Sum - Store Lost",$A$3,"Group","SI")</f>
        <v>2</v>
      </c>
      <c r="H18">
        <f>GETPIVOTDATA("Sum - Store Lost",$A$3,"Group","MOM")</f>
        <v>1</v>
      </c>
      <c r="I18">
        <f>GETPIVOTDATA("Sum - Store Lost",$A$3,"Group","AOP")</f>
        <v>0</v>
      </c>
      <c r="K18">
        <f>GETPIVOTDATA("Sum - Store Lost",$A$3,"Group","MD")</f>
        <v>0</v>
      </c>
      <c r="R18" s="72">
        <f>SUM(B18:Q18)</f>
        <v>14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46</v>
      </c>
      <c r="D21" s="62" t="s">
        <v>22</v>
      </c>
      <c r="E21" s="62" t="s">
        <v>47</v>
      </c>
      <c r="F21" s="62" t="s">
        <v>48</v>
      </c>
      <c r="G21" s="62" t="s">
        <v>49</v>
      </c>
      <c r="H21" s="62" t="s">
        <v>25</v>
      </c>
      <c r="I21" s="62" t="s">
        <v>51</v>
      </c>
      <c r="J21" s="62" t="s">
        <v>52</v>
      </c>
      <c r="K21" s="62" t="s">
        <v>53</v>
      </c>
      <c r="L21" s="62" t="s">
        <v>54</v>
      </c>
      <c r="M21" s="62" t="s">
        <v>55</v>
      </c>
      <c r="N21" s="62" t="s">
        <v>56</v>
      </c>
      <c r="O21" s="62" t="s">
        <v>57</v>
      </c>
      <c r="P21" s="63" t="s">
        <v>58</v>
      </c>
      <c r="Q21" s="64" t="s">
        <v>59</v>
      </c>
      <c r="R21" s="72"/>
    </row>
    <row r="22" spans="1:18" ht="12.75">
      <c r="A22" s="155" t="s">
        <v>72</v>
      </c>
      <c r="B22" s="76">
        <f aca="true" t="shared" si="0" ref="B22:H22">B18/($B25/24)</f>
        <v>0.06236466002598134</v>
      </c>
      <c r="C22" s="114">
        <f>C18/($B25/24)</f>
        <v>0</v>
      </c>
      <c r="D22" s="77">
        <f t="shared" si="0"/>
        <v>0.09354699003897202</v>
      </c>
      <c r="E22" s="77">
        <f t="shared" si="0"/>
        <v>0.015591165006495334</v>
      </c>
      <c r="F22" s="76">
        <f t="shared" si="0"/>
        <v>0.03118233001299067</v>
      </c>
      <c r="G22" s="76">
        <f t="shared" si="0"/>
        <v>0</v>
      </c>
      <c r="H22" s="76">
        <f t="shared" si="0"/>
        <v>0.015591165006495334</v>
      </c>
      <c r="I22" s="77">
        <f>I18/($B25/24)</f>
        <v>0</v>
      </c>
      <c r="J22" s="77">
        <f>J18/($B25/24)</f>
        <v>0</v>
      </c>
      <c r="K22" s="76">
        <f>K18/($B25/24)</f>
        <v>0</v>
      </c>
      <c r="L22" s="77"/>
      <c r="M22" s="76">
        <f aca="true" t="shared" si="1" ref="M22:R22">M18/($B25/24)</f>
        <v>0</v>
      </c>
      <c r="N22" s="76">
        <f>O18/($B25/24)</f>
        <v>0</v>
      </c>
      <c r="O22" s="76" t="e">
        <f>#REF!/($B25/24)</f>
        <v>#REF!</v>
      </c>
      <c r="P22" s="76">
        <f t="shared" si="1"/>
        <v>0</v>
      </c>
      <c r="Q22" s="76">
        <f t="shared" si="1"/>
        <v>0</v>
      </c>
      <c r="R22" s="76">
        <f t="shared" si="1"/>
        <v>0.21827631009093468</v>
      </c>
    </row>
    <row r="23" spans="1:19" ht="12.75">
      <c r="A23" s="78" t="s">
        <v>62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33</v>
      </c>
      <c r="B25" s="69">
        <f>'Main Data'!D54</f>
        <v>1539.3333333334303</v>
      </c>
    </row>
    <row r="26" spans="1:2" ht="12.75">
      <c r="A26" s="82" t="s">
        <v>37</v>
      </c>
      <c r="B26" s="80">
        <f>'Main Data'!D56</f>
        <v>1561</v>
      </c>
    </row>
    <row r="30" ht="12.75">
      <c r="A30" s="83"/>
    </row>
    <row r="36" ht="12.75">
      <c r="A36" s="84" t="s">
        <v>65</v>
      </c>
    </row>
    <row r="37" spans="1:10" ht="12.75">
      <c r="A37" s="83"/>
      <c r="B37" s="95"/>
      <c r="C37" s="96" t="s">
        <v>12</v>
      </c>
      <c r="D37" s="95"/>
      <c r="E37" s="95"/>
      <c r="F37" s="95"/>
      <c r="G37" s="95"/>
      <c r="H37" s="95"/>
      <c r="I37" s="95"/>
      <c r="J37" s="97"/>
    </row>
    <row r="38" spans="1:10" ht="12.75">
      <c r="A38" s="96" t="s">
        <v>15</v>
      </c>
      <c r="B38" s="96" t="s">
        <v>41</v>
      </c>
      <c r="C38" s="83" t="s">
        <v>22</v>
      </c>
      <c r="D38" s="98" t="s">
        <v>23</v>
      </c>
      <c r="E38" s="98" t="s">
        <v>66</v>
      </c>
      <c r="F38" s="98" t="s">
        <v>24</v>
      </c>
      <c r="G38" s="98" t="s">
        <v>25</v>
      </c>
      <c r="H38" s="98" t="s">
        <v>68</v>
      </c>
      <c r="I38" s="98" t="s">
        <v>75</v>
      </c>
      <c r="J38" s="99" t="s">
        <v>60</v>
      </c>
    </row>
    <row r="39" spans="1:10" ht="12.75">
      <c r="A39" s="83" t="s">
        <v>17</v>
      </c>
      <c r="B39" s="83" t="s">
        <v>43</v>
      </c>
      <c r="C39" s="100">
        <v>6</v>
      </c>
      <c r="D39" s="101">
        <v>4</v>
      </c>
      <c r="E39" s="101">
        <v>2</v>
      </c>
      <c r="F39" s="101">
        <v>1</v>
      </c>
      <c r="G39" s="101">
        <v>1</v>
      </c>
      <c r="H39" s="101"/>
      <c r="I39" s="101"/>
      <c r="J39" s="102">
        <v>14</v>
      </c>
    </row>
    <row r="40" spans="1:10" ht="12.75">
      <c r="A40" s="103"/>
      <c r="B40" s="104" t="s">
        <v>42</v>
      </c>
      <c r="C40" s="105">
        <v>0</v>
      </c>
      <c r="D40" s="74">
        <v>0</v>
      </c>
      <c r="E40" s="74">
        <v>0</v>
      </c>
      <c r="F40" s="74">
        <v>0</v>
      </c>
      <c r="G40" s="74">
        <v>0</v>
      </c>
      <c r="H40" s="74"/>
      <c r="I40" s="74"/>
      <c r="J40" s="106">
        <v>0</v>
      </c>
    </row>
    <row r="41" spans="1:10" ht="12.75">
      <c r="A41" s="83" t="s">
        <v>70</v>
      </c>
      <c r="B41" s="83" t="s">
        <v>43</v>
      </c>
      <c r="C41" s="100"/>
      <c r="D41" s="101">
        <v>0</v>
      </c>
      <c r="E41" s="101"/>
      <c r="F41" s="101"/>
      <c r="G41" s="101"/>
      <c r="H41" s="101"/>
      <c r="I41" s="101">
        <v>0</v>
      </c>
      <c r="J41" s="102">
        <v>0</v>
      </c>
    </row>
    <row r="42" spans="1:10" ht="12.75">
      <c r="A42" s="103"/>
      <c r="B42" s="104" t="s">
        <v>42</v>
      </c>
      <c r="C42" s="105"/>
      <c r="D42" s="74">
        <v>4</v>
      </c>
      <c r="E42" s="74"/>
      <c r="F42" s="74"/>
      <c r="G42" s="74"/>
      <c r="H42" s="74">
        <v>1</v>
      </c>
      <c r="I42" s="74">
        <v>1</v>
      </c>
      <c r="J42" s="106">
        <v>6</v>
      </c>
    </row>
    <row r="43" spans="1:10" ht="12.75">
      <c r="A43" s="83" t="s">
        <v>45</v>
      </c>
      <c r="B43" s="95"/>
      <c r="C43" s="100">
        <v>6</v>
      </c>
      <c r="D43" s="101">
        <v>4</v>
      </c>
      <c r="E43" s="101">
        <v>2</v>
      </c>
      <c r="F43" s="101">
        <v>1</v>
      </c>
      <c r="G43" s="101">
        <v>1</v>
      </c>
      <c r="H43" s="101"/>
      <c r="I43" s="101">
        <v>0</v>
      </c>
      <c r="J43" s="102">
        <v>14</v>
      </c>
    </row>
    <row r="44" spans="1:10" ht="12.75">
      <c r="A44" s="107" t="s">
        <v>44</v>
      </c>
      <c r="B44" s="108"/>
      <c r="C44" s="109">
        <v>0</v>
      </c>
      <c r="D44" s="110">
        <v>4</v>
      </c>
      <c r="E44" s="110">
        <v>0</v>
      </c>
      <c r="F44" s="110">
        <v>0</v>
      </c>
      <c r="G44" s="110">
        <v>0</v>
      </c>
      <c r="H44" s="110">
        <v>1</v>
      </c>
      <c r="I44" s="110">
        <v>1</v>
      </c>
      <c r="J44" s="111">
        <v>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Felix</cp:lastModifiedBy>
  <cp:lastPrinted>2016-12-21T14:53:29Z</cp:lastPrinted>
  <dcterms:created xsi:type="dcterms:W3CDTF">1998-01-15T00:06:45Z</dcterms:created>
  <dcterms:modified xsi:type="dcterms:W3CDTF">2016-12-21T18:58:57Z</dcterms:modified>
  <cp:category/>
  <cp:version/>
  <cp:contentType/>
  <cp:contentStatus/>
  <cp:revision>5</cp:revision>
</cp:coreProperties>
</file>