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1615" windowHeight="1008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Data'!$A$2:$P$54</definedName>
    <definedName name="Excel_BuiltIn_Print_Area_1_1_1">'Main Data'!$A$2:$P$75</definedName>
    <definedName name="Excel_BuiltIn_Print_Area_1_1_11">'Main Data'!$A$2:$P$76</definedName>
    <definedName name="Excel_BuiltIn_Print_Area_1_1_1_1">'Main Data'!$A$2:$P$62</definedName>
    <definedName name="Excel_BuiltIn_Print_Area_41">'Faults Per Day'!$A$1:$W$67</definedName>
    <definedName name="Faults_Day_of_Delivered_Beam">'Main Data'!$D$104</definedName>
    <definedName name="Mean_Time_Between_Faults">'Main Data'!$D$103</definedName>
    <definedName name="Number_of_Fills">'Main Data'!$D$96</definedName>
    <definedName name="Number_of_Intentional_Dumps">'Main Data'!$D$95</definedName>
    <definedName name="Number_of_Lost_Fills">'Main Data'!$D$94</definedName>
    <definedName name="_xlnm.Print_Area" localSheetId="3">'Faults Per Day'!$A$1:$AC$81</definedName>
    <definedName name="_xlnm.Print_Area" localSheetId="0">'Main Data'!$A$2:$P$62</definedName>
    <definedName name="_xlnm.Print_Titles" localSheetId="0">'Main Data'!$4:$4</definedName>
    <definedName name="Refill_Time">'Main Data'!$D$1</definedName>
    <definedName name="Total_Schedule_Run_Length">'Main Data'!$D$100</definedName>
    <definedName name="Total_System_Downtime">'Main Data'!$K$96</definedName>
    <definedName name="Total_User_Beam">'Main Data'!$D$98</definedName>
    <definedName name="Total_User_Downtime">'Main Data'!$D$99</definedName>
    <definedName name="User_Beam_Days">'Main Data'!$E$98</definedName>
    <definedName name="X_ray_Availability">'Main Data'!$D$105</definedName>
  </definedNames>
  <calcPr fullCalcOnLoad="1"/>
  <pivotCaches>
    <pivotCache cacheId="12" r:id="rId5"/>
    <pivotCache cacheId="15" r:id="rId6"/>
  </pivotCaches>
</workbook>
</file>

<file path=xl/sharedStrings.xml><?xml version="1.0" encoding="utf-8"?>
<sst xmlns="http://schemas.openxmlformats.org/spreadsheetml/2006/main" count="242" uniqueCount="99">
  <si>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</si>
  <si>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</si>
  <si>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</si>
  <si>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</si>
  <si>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</si>
  <si>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</si>
  <si>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</si>
  <si>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</si>
  <si>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</si>
  <si>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</si>
  <si>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</si>
  <si>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</si>
  <si>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</si>
  <si>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</si>
  <si>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</si>
  <si>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</si>
  <si>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</si>
  <si>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</si>
  <si>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</si>
  <si>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</si>
  <si>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</si>
  <si>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</si>
  <si>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</si>
  <si>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</si>
  <si>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</si>
  <si>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</si>
  <si>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</si>
  <si>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</si>
  <si>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</si>
  <si>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</si>
  <si>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</si>
  <si>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</si>
  <si>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</si>
  <si>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</si>
  <si>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</si>
  <si>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</si>
  <si>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</si>
  <si>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</si>
  <si>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</si>
  <si>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</si>
  <si>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</si>
  <si>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</si>
  <si>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</si>
  <si>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</si>
  <si>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</si>
  <si>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</si>
  <si>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</si>
  <si>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</si>
  <si>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</si>
  <si>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</si>
  <si>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</si>
  <si>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</si>
  <si>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</si>
  <si>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</si>
  <si>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</si>
  <si>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</si>
  <si>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</si>
  <si>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</si>
  <si>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</si>
  <si>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</si>
  <si>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</si>
  <si>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</si>
  <si>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</si>
  <si>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</si>
  <si>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</si>
  <si>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</si>
  <si>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</si>
  <si>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</si>
  <si>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SI</t>
  </si>
  <si>
    <t>DIA</t>
  </si>
  <si>
    <t>UNK</t>
  </si>
  <si>
    <t>Sum of System 
Length</t>
  </si>
  <si>
    <t>Downtime for Run 2016-2</t>
  </si>
  <si>
    <t>S2A:Q2 P.S. trip[PS]</t>
  </si>
  <si>
    <t>Replaced BSP100 board for iocs24abpm [DIAG]</t>
  </si>
  <si>
    <t>S40B:V4 P.S. glitch[PS]</t>
  </si>
  <si>
    <t>RF PSS WG Air Flg[RF]</t>
  </si>
  <si>
    <t>P0 feedback [AOP]</t>
  </si>
  <si>
    <t>RF Cav Blwr Flt [RF]</t>
  </si>
  <si>
    <t>Reset, 2nd loss-S10B:Q4 P.S.trip .8hr[RF],2.7hr[PS]</t>
  </si>
  <si>
    <t>Partial loss (80mA) refilled to 65mA</t>
  </si>
  <si>
    <t>RF4 HV glitch [RF]</t>
  </si>
  <si>
    <t>SR IK glitch [PS]</t>
  </si>
  <si>
    <t>Power event [Other]</t>
  </si>
  <si>
    <t>Partial beam loss[??]</t>
  </si>
  <si>
    <t>ComEd</t>
  </si>
  <si>
    <t>S11A:P1 Rcvr card failed,validation,refill[ASD-DIA]</t>
  </si>
  <si>
    <t>10B:Q2 P.S.failed[PS]</t>
  </si>
  <si>
    <t>S4 P.S. glitch[PS]</t>
  </si>
  <si>
    <t>S4A:S2 P.S.failed[PS]</t>
  </si>
  <si>
    <t>2nd loss on same, refill</t>
  </si>
  <si>
    <t>Swapped out supply, conditioned, refilled</t>
  </si>
  <si>
    <t>Swap, 2nd failure, DAC card swap, refilled</t>
  </si>
  <si>
    <t>8BM EPS fault[SI]</t>
  </si>
  <si>
    <t>P.S. failed[PS]</t>
  </si>
  <si>
    <t>S10B:Q4 P.S.trip</t>
  </si>
  <si>
    <t>Run 2016-2</t>
  </si>
  <si>
    <t>CTL</t>
  </si>
  <si>
    <t>RTFB glitch [CTL]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</si>
</sst>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8" xfId="0" applyNumberFormat="1" applyBorder="1" applyAlignment="1">
      <alignment/>
    </xf>
    <xf numFmtId="0" fontId="0" fillId="37" borderId="29" xfId="0" applyNumberFormat="1" applyFont="1" applyFill="1" applyBorder="1" applyAlignment="1">
      <alignment horizontal="right"/>
    </xf>
    <xf numFmtId="164" fontId="0" fillId="37" borderId="29" xfId="0" applyNumberFormat="1" applyFont="1" applyFill="1" applyBorder="1" applyAlignment="1">
      <alignment/>
    </xf>
    <xf numFmtId="2" fontId="0" fillId="38" borderId="29" xfId="0" applyNumberFormat="1" applyFont="1" applyFill="1" applyBorder="1" applyAlignment="1">
      <alignment horizontal="right"/>
    </xf>
    <xf numFmtId="0" fontId="0" fillId="37" borderId="29" xfId="0" applyNumberFormat="1" applyFont="1" applyFill="1" applyBorder="1" applyAlignment="1">
      <alignment horizontal="center"/>
    </xf>
    <xf numFmtId="164" fontId="0" fillId="37" borderId="29" xfId="0" applyNumberFormat="1" applyFont="1" applyFill="1" applyBorder="1" applyAlignment="1">
      <alignment horizontal="center"/>
    </xf>
    <xf numFmtId="0" fontId="0" fillId="37" borderId="29" xfId="0" applyNumberFormat="1" applyFont="1" applyFill="1" applyBorder="1" applyAlignment="1" applyProtection="1">
      <alignment/>
      <protection/>
    </xf>
    <xf numFmtId="0" fontId="0" fillId="37" borderId="29" xfId="0" applyNumberFormat="1" applyFont="1" applyFill="1" applyBorder="1" applyAlignment="1" applyProtection="1">
      <alignment/>
      <protection locked="0"/>
    </xf>
    <xf numFmtId="0" fontId="0" fillId="37" borderId="2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/>
    </xf>
    <xf numFmtId="2" fontId="0" fillId="35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30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9" xfId="0" applyNumberFormat="1" applyFont="1" applyFill="1" applyBorder="1" applyAlignment="1">
      <alignment horizontal="right"/>
    </xf>
    <xf numFmtId="164" fontId="0" fillId="43" borderId="29" xfId="0" applyNumberFormat="1" applyFont="1" applyFill="1" applyBorder="1" applyAlignment="1">
      <alignment/>
    </xf>
    <xf numFmtId="2" fontId="0" fillId="44" borderId="29" xfId="0" applyNumberFormat="1" applyFont="1" applyFill="1" applyBorder="1" applyAlignment="1">
      <alignment horizontal="right"/>
    </xf>
    <xf numFmtId="0" fontId="0" fillId="43" borderId="29" xfId="0" applyNumberFormat="1" applyFont="1" applyFill="1" applyBorder="1" applyAlignment="1" applyProtection="1">
      <alignment/>
      <protection/>
    </xf>
    <xf numFmtId="0" fontId="0" fillId="43" borderId="29" xfId="0" applyNumberFormat="1" applyFont="1" applyFill="1" applyBorder="1" applyAlignment="1" applyProtection="1">
      <alignment/>
      <protection locked="0"/>
    </xf>
    <xf numFmtId="0" fontId="0" fillId="43" borderId="29" xfId="0" applyNumberFormat="1" applyFont="1" applyFill="1" applyBorder="1" applyAlignment="1" applyProtection="1">
      <alignment horizontal="left"/>
      <protection/>
    </xf>
    <xf numFmtId="164" fontId="0" fillId="45" borderId="29" xfId="0" applyNumberFormat="1" applyFont="1" applyFill="1" applyBorder="1" applyAlignment="1">
      <alignment/>
    </xf>
    <xf numFmtId="2" fontId="0" fillId="46" borderId="29" xfId="0" applyNumberFormat="1" applyFont="1" applyFill="1" applyBorder="1" applyAlignment="1">
      <alignment horizontal="right"/>
    </xf>
    <xf numFmtId="0" fontId="0" fillId="45" borderId="29" xfId="0" applyNumberFormat="1" applyFont="1" applyFill="1" applyBorder="1" applyAlignment="1" applyProtection="1">
      <alignment/>
      <protection/>
    </xf>
    <xf numFmtId="0" fontId="0" fillId="45" borderId="29" xfId="0" applyNumberFormat="1" applyFont="1" applyFill="1" applyBorder="1" applyAlignment="1" applyProtection="1">
      <alignment/>
      <protection locked="0"/>
    </xf>
    <xf numFmtId="0" fontId="0" fillId="45" borderId="29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1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2016-2 Downtime by System 
June 1 - August 24, 2016
 Scheduled User Time =  1704 hours     
User downtime= 25.47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2016-2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0.001496493510365669</c:v>
                </c:pt>
                <c:pt idx="1">
                  <c:v>0.0014475884936321287</c:v>
                </c:pt>
                <c:pt idx="2">
                  <c:v>0.00794217470834478</c:v>
                </c:pt>
                <c:pt idx="3">
                  <c:v>0.0003032111033585278</c:v>
                </c:pt>
                <c:pt idx="4">
                  <c:v>0.0023180977905463344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6.846702336546867E-05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2016-2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0.042895016433163305</c:v>
                </c:pt>
                <c:pt idx="1">
                  <c:v>0</c:v>
                </c:pt>
                <c:pt idx="2">
                  <c:v>0.11438671048843548</c:v>
                </c:pt>
                <c:pt idx="3">
                  <c:v>0.014298338811054434</c:v>
                </c:pt>
                <c:pt idx="4">
                  <c:v>0.014298338811054434</c:v>
                </c:pt>
                <c:pt idx="5">
                  <c:v>0</c:v>
                </c:pt>
                <c:pt idx="6">
                  <c:v>0</c:v>
                </c:pt>
                <c:pt idx="8">
                  <c:v>0.014298338811054434</c:v>
                </c:pt>
                <c:pt idx="9">
                  <c:v>0</c:v>
                </c:pt>
                <c:pt idx="10">
                  <c:v>0</c:v>
                </c:pt>
                <c:pt idx="12">
                  <c:v>0.014298338811054434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0.014298338811054434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At val="0"/>
        <c:auto val="1"/>
        <c:lblOffset val="100"/>
        <c:tickLblSkip val="1"/>
        <c:noMultiLvlLbl val="0"/>
      </c:catAx>
      <c:valAx>
        <c:axId val="5420597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94</xdr:row>
      <xdr:rowOff>76200</xdr:rowOff>
    </xdr:from>
    <xdr:to>
      <xdr:col>11</xdr:col>
      <xdr:colOff>85725</xdr:colOff>
      <xdr:row>95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6992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85725</xdr:rowOff>
    </xdr:from>
    <xdr:to>
      <xdr:col>11</xdr:col>
      <xdr:colOff>85725</xdr:colOff>
      <xdr:row>53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0182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5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PS"/>
        <m/>
        <s v="DIA"/>
        <s v="RF"/>
        <s v="AOP"/>
        <s v="ComEd"/>
        <s v="UNK"/>
        <s v="SI"/>
        <s v="CTL"/>
        <s v="MOM"/>
        <s v="BL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1"/>
        <item x="0"/>
        <item x="3"/>
        <item x="2"/>
        <item m="1" x="9"/>
        <item m="1" x="10"/>
        <item x="4"/>
        <item x="7"/>
        <item x="5"/>
        <item x="8"/>
        <item x="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abSelected="1" zoomScale="75" zoomScaleNormal="75" zoomScaleSheetLayoutView="110" zoomScalePageLayoutView="0" workbookViewId="0" topLeftCell="A1">
      <pane ySplit="4" topLeftCell="A17" activePane="bottomLeft" state="frozen"/>
      <selection pane="topLeft" activeCell="A1" sqref="A1"/>
      <selection pane="bottomLeft" activeCell="E45" sqref="E45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2" t="s">
        <v>72</v>
      </c>
      <c r="B2" s="172"/>
      <c r="C2" s="172"/>
      <c r="D2" s="172"/>
      <c r="E2" s="172"/>
      <c r="F2" s="172"/>
      <c r="G2" s="172"/>
      <c r="H2" s="172"/>
      <c r="I2" s="172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9" t="s">
        <v>3</v>
      </c>
      <c r="B4" s="100" t="s">
        <v>4</v>
      </c>
      <c r="C4" s="100" t="s">
        <v>5</v>
      </c>
      <c r="D4" s="101" t="s">
        <v>6</v>
      </c>
      <c r="E4" s="102" t="s">
        <v>7</v>
      </c>
      <c r="F4" s="99" t="s">
        <v>8</v>
      </c>
      <c r="G4" s="103" t="s">
        <v>9</v>
      </c>
      <c r="H4" s="100" t="s">
        <v>4</v>
      </c>
      <c r="I4" s="100" t="s">
        <v>5</v>
      </c>
      <c r="J4" s="104" t="s">
        <v>10</v>
      </c>
      <c r="K4" s="105" t="s">
        <v>11</v>
      </c>
      <c r="L4" s="106" t="s">
        <v>12</v>
      </c>
      <c r="M4" s="107" t="s">
        <v>13</v>
      </c>
      <c r="N4" s="107" t="s">
        <v>14</v>
      </c>
      <c r="O4" s="106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35" customFormat="1" ht="12.75">
      <c r="A5" s="124">
        <v>1</v>
      </c>
      <c r="B5" s="125">
        <v>42522.333333333336</v>
      </c>
      <c r="C5" s="125">
        <v>42522.853472222225</v>
      </c>
      <c r="D5" s="126">
        <f>(C5-B5)*24</f>
        <v>12.483333333337214</v>
      </c>
      <c r="E5" s="125" t="s">
        <v>75</v>
      </c>
      <c r="F5" s="127">
        <v>106452</v>
      </c>
      <c r="G5" s="128"/>
      <c r="H5" s="125">
        <v>42522.853472222225</v>
      </c>
      <c r="I5" s="125">
        <v>42522.87430555555</v>
      </c>
      <c r="J5" s="126">
        <f>(I5-H5)*24</f>
        <v>0.4999999998835847</v>
      </c>
      <c r="K5" s="126">
        <f>(I5-H5)*24</f>
        <v>0.4999999998835847</v>
      </c>
      <c r="L5" s="129" t="s">
        <v>22</v>
      </c>
      <c r="M5" s="130" t="s">
        <v>22</v>
      </c>
      <c r="N5" s="130" t="s">
        <v>22</v>
      </c>
      <c r="O5" s="131" t="s">
        <v>17</v>
      </c>
      <c r="P5" s="125"/>
      <c r="Q5" s="132">
        <f aca="true" t="shared" si="0" ref="Q5:Q50">IF($O5="Store Lost",1,"")</f>
        <v>1</v>
      </c>
      <c r="R5" s="132">
        <f aca="true" t="shared" si="1" ref="R5:R50">IF($O5="Scheduled",1,"")</f>
      </c>
      <c r="S5" s="132">
        <f aca="true" t="shared" si="2" ref="S5:S50">IF($O5="Inhibits beam to user",1,"")</f>
      </c>
      <c r="T5" s="133">
        <f aca="true" t="shared" si="3" ref="T5:T22">SUM(Q5:S5)</f>
        <v>1</v>
      </c>
      <c r="U5" s="134"/>
      <c r="V5" s="134"/>
      <c r="W5" s="134"/>
    </row>
    <row r="6" spans="1:23" s="120" customFormat="1" ht="15.75" customHeight="1">
      <c r="A6" s="136">
        <v>2</v>
      </c>
      <c r="B6" s="137">
        <v>42522.87430555555</v>
      </c>
      <c r="C6" s="137">
        <v>42527.333333333336</v>
      </c>
      <c r="D6" s="138">
        <f>(C6-B6)*24</f>
        <v>107.0166666667792</v>
      </c>
      <c r="E6" s="137" t="s">
        <v>67</v>
      </c>
      <c r="F6" s="139"/>
      <c r="G6" s="140"/>
      <c r="H6" s="137"/>
      <c r="I6" s="137"/>
      <c r="J6" s="138">
        <f>(I6-H6)*24</f>
        <v>0</v>
      </c>
      <c r="K6" s="138">
        <f>(I6-H6)*24</f>
        <v>0</v>
      </c>
      <c r="L6" s="141"/>
      <c r="M6" s="142"/>
      <c r="N6" s="142"/>
      <c r="O6" s="143" t="s">
        <v>21</v>
      </c>
      <c r="P6" s="137"/>
      <c r="Q6" s="132">
        <f t="shared" si="0"/>
      </c>
      <c r="R6" s="132">
        <f t="shared" si="1"/>
        <v>1</v>
      </c>
      <c r="S6" s="132">
        <f t="shared" si="2"/>
      </c>
      <c r="T6" s="133">
        <f t="shared" si="3"/>
        <v>1</v>
      </c>
      <c r="U6" s="119"/>
      <c r="V6" s="119"/>
      <c r="W6" s="119"/>
    </row>
    <row r="7" spans="1:23" s="155" customFormat="1" ht="12.75">
      <c r="A7" s="144"/>
      <c r="B7" s="145"/>
      <c r="C7" s="145"/>
      <c r="D7" s="146">
        <f>SUM(D5:D6)</f>
        <v>119.50000000011642</v>
      </c>
      <c r="E7" s="147"/>
      <c r="F7" s="148"/>
      <c r="G7" s="149"/>
      <c r="H7" s="150"/>
      <c r="I7" s="150"/>
      <c r="J7" s="151">
        <f>SUM(J5:J6)</f>
        <v>0.4999999998835847</v>
      </c>
      <c r="K7" s="151">
        <f>SUM(K5:K6)</f>
        <v>0.4999999998835847</v>
      </c>
      <c r="L7" s="152"/>
      <c r="M7" s="153"/>
      <c r="N7" s="153"/>
      <c r="O7" s="154"/>
      <c r="P7" s="147"/>
      <c r="Q7" s="132">
        <f t="shared" si="0"/>
      </c>
      <c r="R7" s="132">
        <f t="shared" si="1"/>
      </c>
      <c r="S7" s="132">
        <f t="shared" si="2"/>
      </c>
      <c r="T7" s="133">
        <f t="shared" si="3"/>
        <v>0</v>
      </c>
      <c r="U7" s="30"/>
      <c r="V7" s="30"/>
      <c r="W7" s="30"/>
    </row>
    <row r="8" spans="1:23" s="120" customFormat="1" ht="15.75" customHeight="1">
      <c r="A8" s="136">
        <v>3</v>
      </c>
      <c r="B8" s="137">
        <v>42528.333333333336</v>
      </c>
      <c r="C8" s="137">
        <v>42534.333333333336</v>
      </c>
      <c r="D8" s="138">
        <f>(C8-B8)*24</f>
        <v>144</v>
      </c>
      <c r="E8" s="137" t="s">
        <v>67</v>
      </c>
      <c r="F8" s="139"/>
      <c r="G8" s="140"/>
      <c r="H8" s="137"/>
      <c r="I8" s="137"/>
      <c r="J8" s="138">
        <f>(I8-H8)*24</f>
        <v>0</v>
      </c>
      <c r="K8" s="138">
        <f>(I8-H8)*24</f>
        <v>0</v>
      </c>
      <c r="L8" s="141"/>
      <c r="M8" s="142"/>
      <c r="N8" s="142"/>
      <c r="O8" s="143" t="s">
        <v>21</v>
      </c>
      <c r="P8" s="137"/>
      <c r="Q8" s="132">
        <f t="shared" si="0"/>
      </c>
      <c r="R8" s="132">
        <f t="shared" si="1"/>
        <v>1</v>
      </c>
      <c r="S8" s="132">
        <f t="shared" si="2"/>
      </c>
      <c r="T8" s="133">
        <f>SUM(Q8:S8)</f>
        <v>1</v>
      </c>
      <c r="U8" s="119"/>
      <c r="V8" s="119"/>
      <c r="W8" s="119"/>
    </row>
    <row r="9" spans="1:23" s="155" customFormat="1" ht="12.75">
      <c r="A9" s="144"/>
      <c r="B9" s="145"/>
      <c r="C9" s="145"/>
      <c r="D9" s="146">
        <f>SUM(D8:D8)</f>
        <v>144</v>
      </c>
      <c r="E9" s="147"/>
      <c r="F9" s="148"/>
      <c r="G9" s="149"/>
      <c r="H9" s="150"/>
      <c r="I9" s="150"/>
      <c r="J9" s="151">
        <f>SUM(J8:J8)</f>
        <v>0</v>
      </c>
      <c r="K9" s="151">
        <f>SUM(K8:K8)</f>
        <v>0</v>
      </c>
      <c r="L9" s="152"/>
      <c r="M9" s="153"/>
      <c r="N9" s="153"/>
      <c r="O9" s="154"/>
      <c r="P9" s="147"/>
      <c r="Q9" s="132">
        <f t="shared" si="0"/>
      </c>
      <c r="R9" s="132">
        <f t="shared" si="1"/>
      </c>
      <c r="S9" s="132">
        <f t="shared" si="2"/>
      </c>
      <c r="T9" s="133">
        <f>SUM(Q9:S9)</f>
        <v>0</v>
      </c>
      <c r="U9" s="30"/>
      <c r="V9" s="30"/>
      <c r="W9" s="30"/>
    </row>
    <row r="10" spans="1:23" s="135" customFormat="1" ht="12.75">
      <c r="A10" s="124"/>
      <c r="B10" s="125"/>
      <c r="C10" s="125"/>
      <c r="D10" s="126">
        <f>(C10-B10)*24</f>
        <v>0</v>
      </c>
      <c r="E10" s="125"/>
      <c r="F10" s="127">
        <v>106482</v>
      </c>
      <c r="G10" s="128"/>
      <c r="H10" s="125">
        <v>42535.333333333336</v>
      </c>
      <c r="I10" s="125">
        <v>42535.34027777778</v>
      </c>
      <c r="J10" s="126">
        <f>(I10-H10)*24</f>
        <v>0.16666666668606922</v>
      </c>
      <c r="K10" s="126">
        <f>(I10-H10)*24</f>
        <v>0.16666666668606922</v>
      </c>
      <c r="L10" s="129" t="s">
        <v>69</v>
      </c>
      <c r="M10" s="130" t="s">
        <v>69</v>
      </c>
      <c r="N10" s="130" t="s">
        <v>69</v>
      </c>
      <c r="O10" s="131" t="s">
        <v>66</v>
      </c>
      <c r="P10" s="125" t="s">
        <v>74</v>
      </c>
      <c r="Q10" s="132">
        <f t="shared" si="0"/>
      </c>
      <c r="R10" s="132">
        <f t="shared" si="1"/>
      </c>
      <c r="S10" s="132">
        <f t="shared" si="2"/>
        <v>1</v>
      </c>
      <c r="T10" s="133">
        <f t="shared" si="3"/>
        <v>1</v>
      </c>
      <c r="U10" s="134"/>
      <c r="V10" s="134"/>
      <c r="W10" s="134"/>
    </row>
    <row r="11" spans="1:23" s="135" customFormat="1" ht="12.75">
      <c r="A11" s="136">
        <v>4</v>
      </c>
      <c r="B11" s="137">
        <v>42535.34027777778</v>
      </c>
      <c r="C11" s="137">
        <v>42536.368055555555</v>
      </c>
      <c r="D11" s="138">
        <f>(C11-B11)*24</f>
        <v>24.666666666569654</v>
      </c>
      <c r="E11" s="137" t="s">
        <v>73</v>
      </c>
      <c r="F11" s="139">
        <v>106484</v>
      </c>
      <c r="G11" s="140"/>
      <c r="H11" s="137">
        <v>42536.368055555555</v>
      </c>
      <c r="I11" s="137">
        <v>42536.43125</v>
      </c>
      <c r="J11" s="138">
        <f>(I11-H11)*24</f>
        <v>1.5166666667209938</v>
      </c>
      <c r="K11" s="138">
        <f>(I11-H11)*24</f>
        <v>1.5166666667209938</v>
      </c>
      <c r="L11" s="141" t="s">
        <v>22</v>
      </c>
      <c r="M11" s="142" t="s">
        <v>22</v>
      </c>
      <c r="N11" s="142" t="s">
        <v>22</v>
      </c>
      <c r="O11" s="143" t="s">
        <v>17</v>
      </c>
      <c r="P11" s="137"/>
      <c r="Q11" s="132">
        <f t="shared" si="0"/>
        <v>1</v>
      </c>
      <c r="R11" s="132">
        <f t="shared" si="1"/>
      </c>
      <c r="S11" s="132">
        <f t="shared" si="2"/>
      </c>
      <c r="T11" s="133">
        <f t="shared" si="3"/>
        <v>1</v>
      </c>
      <c r="U11" s="134"/>
      <c r="V11" s="134"/>
      <c r="W11" s="134"/>
    </row>
    <row r="12" spans="1:23" s="120" customFormat="1" ht="15.75" customHeight="1">
      <c r="A12" s="124">
        <v>5</v>
      </c>
      <c r="B12" s="125">
        <v>42536.43125</v>
      </c>
      <c r="C12" s="125">
        <v>42538.08472222222</v>
      </c>
      <c r="D12" s="156">
        <f>(C12-B12)*24</f>
        <v>39.68333333329065</v>
      </c>
      <c r="E12" s="125" t="s">
        <v>76</v>
      </c>
      <c r="F12" s="127">
        <v>106487</v>
      </c>
      <c r="G12" s="128"/>
      <c r="H12" s="125">
        <v>42538.08472222222</v>
      </c>
      <c r="I12" s="125">
        <v>42538.17222222222</v>
      </c>
      <c r="J12" s="156">
        <f>(I12-H12)*24</f>
        <v>2.1000000000349246</v>
      </c>
      <c r="K12" s="156"/>
      <c r="L12" s="129"/>
      <c r="M12" s="130"/>
      <c r="N12" s="130"/>
      <c r="O12" s="131"/>
      <c r="P12" s="125"/>
      <c r="Q12" s="132">
        <f t="shared" si="0"/>
      </c>
      <c r="R12" s="132">
        <f t="shared" si="1"/>
      </c>
      <c r="S12" s="132">
        <f t="shared" si="2"/>
      </c>
      <c r="T12" s="133">
        <f t="shared" si="3"/>
        <v>0</v>
      </c>
      <c r="U12" s="119"/>
      <c r="V12" s="119"/>
      <c r="W12" s="119"/>
    </row>
    <row r="13" spans="1:23" s="135" customFormat="1" ht="12.75">
      <c r="A13" s="136"/>
      <c r="B13" s="137"/>
      <c r="C13" s="137"/>
      <c r="D13" s="138"/>
      <c r="E13" s="137"/>
      <c r="F13" s="139"/>
      <c r="G13" s="140"/>
      <c r="H13" s="157">
        <v>42538.08472222222</v>
      </c>
      <c r="I13" s="157">
        <v>42538.13680555556</v>
      </c>
      <c r="J13" s="158"/>
      <c r="K13" s="158">
        <f>(I13-H13)*24</f>
        <v>1.2500000000582077</v>
      </c>
      <c r="L13" s="159" t="s">
        <v>23</v>
      </c>
      <c r="M13" s="160" t="s">
        <v>23</v>
      </c>
      <c r="N13" s="160" t="s">
        <v>23</v>
      </c>
      <c r="O13" s="161" t="s">
        <v>17</v>
      </c>
      <c r="P13" s="157"/>
      <c r="Q13" s="132">
        <f t="shared" si="0"/>
        <v>1</v>
      </c>
      <c r="R13" s="132">
        <f t="shared" si="1"/>
      </c>
      <c r="S13" s="132">
        <f t="shared" si="2"/>
      </c>
      <c r="T13" s="133">
        <f t="shared" si="3"/>
        <v>1</v>
      </c>
      <c r="U13" s="134"/>
      <c r="V13" s="134"/>
      <c r="W13" s="134"/>
    </row>
    <row r="14" spans="1:23" s="135" customFormat="1" ht="12.75">
      <c r="A14" s="136"/>
      <c r="B14" s="137"/>
      <c r="C14" s="137"/>
      <c r="D14" s="138"/>
      <c r="E14" s="137"/>
      <c r="F14" s="139"/>
      <c r="G14" s="140"/>
      <c r="H14" s="162">
        <v>42538.13680555556</v>
      </c>
      <c r="I14" s="162">
        <v>42538.17222222222</v>
      </c>
      <c r="J14" s="163"/>
      <c r="K14" s="163">
        <f>(I14-H14)*24</f>
        <v>0.8499999999767169</v>
      </c>
      <c r="L14" s="164" t="s">
        <v>22</v>
      </c>
      <c r="M14" s="165" t="s">
        <v>22</v>
      </c>
      <c r="N14" s="165" t="s">
        <v>22</v>
      </c>
      <c r="O14" s="166" t="s">
        <v>66</v>
      </c>
      <c r="P14" s="162"/>
      <c r="Q14" s="132">
        <f t="shared" si="0"/>
      </c>
      <c r="R14" s="132">
        <f t="shared" si="1"/>
      </c>
      <c r="S14" s="132">
        <f t="shared" si="2"/>
        <v>1</v>
      </c>
      <c r="T14" s="133">
        <f t="shared" si="3"/>
        <v>1</v>
      </c>
      <c r="U14" s="134"/>
      <c r="V14" s="134"/>
      <c r="W14" s="134"/>
    </row>
    <row r="15" spans="1:23" s="135" customFormat="1" ht="12.75">
      <c r="A15" s="124">
        <v>6</v>
      </c>
      <c r="B15" s="125">
        <v>42538.17222222222</v>
      </c>
      <c r="C15" s="125">
        <v>42540.893055555556</v>
      </c>
      <c r="D15" s="156">
        <f>(C15-B15)*24</f>
        <v>65.29999999998836</v>
      </c>
      <c r="E15" s="125" t="s">
        <v>78</v>
      </c>
      <c r="F15" s="127">
        <v>106488</v>
      </c>
      <c r="G15" s="128"/>
      <c r="H15" s="125">
        <v>42540.893055555556</v>
      </c>
      <c r="I15" s="125">
        <v>42541.0375</v>
      </c>
      <c r="J15" s="156">
        <f>(I15-H15)*24</f>
        <v>3.46666666661622</v>
      </c>
      <c r="K15" s="156"/>
      <c r="L15" s="129"/>
      <c r="M15" s="130"/>
      <c r="N15" s="130"/>
      <c r="O15" s="131"/>
      <c r="P15" s="125" t="s">
        <v>79</v>
      </c>
      <c r="Q15" s="132">
        <f t="shared" si="0"/>
      </c>
      <c r="R15" s="132">
        <f t="shared" si="1"/>
      </c>
      <c r="S15" s="132">
        <f t="shared" si="2"/>
      </c>
      <c r="T15" s="133">
        <f>SUM(Q15:S15)</f>
        <v>0</v>
      </c>
      <c r="U15" s="134"/>
      <c r="V15" s="134"/>
      <c r="W15" s="134"/>
    </row>
    <row r="16" spans="1:23" s="135" customFormat="1" ht="12.75">
      <c r="A16" s="136"/>
      <c r="B16" s="137"/>
      <c r="C16" s="137"/>
      <c r="D16" s="138"/>
      <c r="E16" s="137"/>
      <c r="F16" s="139"/>
      <c r="G16" s="140"/>
      <c r="H16" s="157">
        <v>42540.893055555556</v>
      </c>
      <c r="I16" s="157">
        <v>42540.92638888889</v>
      </c>
      <c r="J16" s="158"/>
      <c r="K16" s="158">
        <f>(I16-H16)*24</f>
        <v>0.7999999999883585</v>
      </c>
      <c r="L16" s="159" t="s">
        <v>23</v>
      </c>
      <c r="M16" s="160" t="s">
        <v>23</v>
      </c>
      <c r="N16" s="160" t="s">
        <v>23</v>
      </c>
      <c r="O16" s="161" t="s">
        <v>17</v>
      </c>
      <c r="P16" s="157"/>
      <c r="Q16" s="132">
        <f t="shared" si="0"/>
        <v>1</v>
      </c>
      <c r="R16" s="132">
        <f t="shared" si="1"/>
      </c>
      <c r="S16" s="132">
        <f t="shared" si="2"/>
      </c>
      <c r="T16" s="133">
        <f>SUM(Q16:S16)</f>
        <v>1</v>
      </c>
      <c r="U16" s="134"/>
      <c r="V16" s="134"/>
      <c r="W16" s="134"/>
    </row>
    <row r="17" spans="1:23" s="135" customFormat="1" ht="12.75">
      <c r="A17" s="136"/>
      <c r="B17" s="137"/>
      <c r="C17" s="137"/>
      <c r="D17" s="138"/>
      <c r="E17" s="137"/>
      <c r="F17" s="139"/>
      <c r="G17" s="140"/>
      <c r="H17" s="162">
        <v>42540.92638888889</v>
      </c>
      <c r="I17" s="162">
        <v>42541.0375</v>
      </c>
      <c r="J17" s="163"/>
      <c r="K17" s="163">
        <f>(I17-H17)*24</f>
        <v>2.6666666666278616</v>
      </c>
      <c r="L17" s="164" t="s">
        <v>22</v>
      </c>
      <c r="M17" s="165" t="s">
        <v>22</v>
      </c>
      <c r="N17" s="165" t="s">
        <v>22</v>
      </c>
      <c r="O17" s="166" t="s">
        <v>66</v>
      </c>
      <c r="P17" s="162" t="s">
        <v>95</v>
      </c>
      <c r="Q17" s="132">
        <f t="shared" si="0"/>
      </c>
      <c r="R17" s="132">
        <f t="shared" si="1"/>
      </c>
      <c r="S17" s="132">
        <f t="shared" si="2"/>
        <v>1</v>
      </c>
      <c r="T17" s="133">
        <f>SUM(Q17:S17)</f>
        <v>1</v>
      </c>
      <c r="U17" s="134"/>
      <c r="V17" s="134"/>
      <c r="W17" s="134"/>
    </row>
    <row r="18" spans="1:23" s="120" customFormat="1" ht="15.75" customHeight="1">
      <c r="A18" s="124">
        <v>8</v>
      </c>
      <c r="B18" s="125">
        <v>42541.0375</v>
      </c>
      <c r="C18" s="125">
        <v>42541.333333333336</v>
      </c>
      <c r="D18" s="156">
        <f>(C18-B18)*24</f>
        <v>7.100000000093132</v>
      </c>
      <c r="E18" s="125" t="s">
        <v>67</v>
      </c>
      <c r="F18" s="127"/>
      <c r="G18" s="128"/>
      <c r="H18" s="125"/>
      <c r="I18" s="125"/>
      <c r="J18" s="156">
        <f>(I18-H18)*24</f>
        <v>0</v>
      </c>
      <c r="K18" s="156">
        <f>(I18-H18)*24</f>
        <v>0</v>
      </c>
      <c r="L18" s="129"/>
      <c r="M18" s="130"/>
      <c r="N18" s="130"/>
      <c r="O18" s="131" t="s">
        <v>21</v>
      </c>
      <c r="P18" s="125"/>
      <c r="Q18" s="132">
        <f t="shared" si="0"/>
      </c>
      <c r="R18" s="132">
        <f t="shared" si="1"/>
        <v>1</v>
      </c>
      <c r="S18" s="132">
        <f t="shared" si="2"/>
      </c>
      <c r="T18" s="133">
        <f t="shared" si="3"/>
        <v>1</v>
      </c>
      <c r="U18" s="119"/>
      <c r="V18" s="119"/>
      <c r="W18" s="119"/>
    </row>
    <row r="19" spans="1:23" s="155" customFormat="1" ht="12.75">
      <c r="A19" s="144"/>
      <c r="B19" s="145"/>
      <c r="C19" s="145"/>
      <c r="D19" s="146">
        <f>SUM(D10:D18)</f>
        <v>136.7499999999418</v>
      </c>
      <c r="E19" s="147"/>
      <c r="F19" s="148"/>
      <c r="G19" s="149"/>
      <c r="H19" s="150"/>
      <c r="I19" s="150"/>
      <c r="J19" s="151">
        <f>SUM(J10:J18)</f>
        <v>7.250000000058208</v>
      </c>
      <c r="K19" s="151">
        <f>SUM(K10:K18)</f>
        <v>7.250000000058208</v>
      </c>
      <c r="L19" s="152"/>
      <c r="M19" s="153"/>
      <c r="N19" s="153"/>
      <c r="O19" s="154"/>
      <c r="P19" s="147"/>
      <c r="Q19" s="132">
        <f t="shared" si="0"/>
      </c>
      <c r="R19" s="132">
        <f t="shared" si="1"/>
      </c>
      <c r="S19" s="132">
        <f t="shared" si="2"/>
      </c>
      <c r="T19" s="133">
        <f t="shared" si="3"/>
        <v>0</v>
      </c>
      <c r="U19" s="30"/>
      <c r="V19" s="30"/>
      <c r="W19" s="30"/>
    </row>
    <row r="20" spans="1:23" s="120" customFormat="1" ht="15.75" customHeight="1">
      <c r="A20" s="124">
        <v>9</v>
      </c>
      <c r="B20" s="125">
        <v>42542.333333333336</v>
      </c>
      <c r="C20" s="125">
        <v>42542.839583333334</v>
      </c>
      <c r="D20" s="156">
        <f>(C20-B20)*24</f>
        <v>12.149999999965075</v>
      </c>
      <c r="E20" s="125" t="s">
        <v>77</v>
      </c>
      <c r="F20" s="127">
        <v>106493</v>
      </c>
      <c r="G20" s="128"/>
      <c r="H20" s="125">
        <v>42542.839583333334</v>
      </c>
      <c r="I20" s="125">
        <v>42542.84722222222</v>
      </c>
      <c r="J20" s="156">
        <f>(I20-H20)*24</f>
        <v>0.18333333323244005</v>
      </c>
      <c r="K20" s="156">
        <f>(I20-H20)*24</f>
        <v>0.18333333323244005</v>
      </c>
      <c r="L20" s="129" t="s">
        <v>65</v>
      </c>
      <c r="M20" s="130" t="s">
        <v>65</v>
      </c>
      <c r="N20" s="130" t="s">
        <v>65</v>
      </c>
      <c r="O20" s="131" t="s">
        <v>17</v>
      </c>
      <c r="P20" s="125" t="s">
        <v>80</v>
      </c>
      <c r="Q20" s="132">
        <f t="shared" si="0"/>
        <v>1</v>
      </c>
      <c r="R20" s="132">
        <f t="shared" si="1"/>
      </c>
      <c r="S20" s="132">
        <f t="shared" si="2"/>
      </c>
      <c r="T20" s="133">
        <f>SUM(Q20:S20)</f>
        <v>1</v>
      </c>
      <c r="U20" s="119"/>
      <c r="V20" s="119"/>
      <c r="W20" s="119"/>
    </row>
    <row r="21" spans="1:23" s="120" customFormat="1" ht="15.75" customHeight="1">
      <c r="A21" s="136">
        <v>10</v>
      </c>
      <c r="B21" s="137">
        <v>42542.84722222222</v>
      </c>
      <c r="C21" s="137">
        <v>42548.333333333336</v>
      </c>
      <c r="D21" s="138">
        <f>(C21-B21)*24</f>
        <v>131.66666666680248</v>
      </c>
      <c r="E21" s="137" t="s">
        <v>67</v>
      </c>
      <c r="F21" s="139"/>
      <c r="G21" s="140"/>
      <c r="H21" s="137"/>
      <c r="I21" s="137"/>
      <c r="J21" s="138">
        <f>(I21-H21)*24</f>
        <v>0</v>
      </c>
      <c r="K21" s="138">
        <f>(I21-H21)*24</f>
        <v>0</v>
      </c>
      <c r="L21" s="141"/>
      <c r="M21" s="142"/>
      <c r="N21" s="142"/>
      <c r="O21" s="143" t="s">
        <v>21</v>
      </c>
      <c r="P21" s="137"/>
      <c r="Q21" s="132">
        <f t="shared" si="0"/>
      </c>
      <c r="R21" s="132">
        <f t="shared" si="1"/>
        <v>1</v>
      </c>
      <c r="S21" s="132">
        <f t="shared" si="2"/>
      </c>
      <c r="T21" s="133">
        <f t="shared" si="3"/>
        <v>1</v>
      </c>
      <c r="U21" s="119"/>
      <c r="V21" s="119"/>
      <c r="W21" s="119"/>
    </row>
    <row r="22" spans="1:23" s="155" customFormat="1" ht="12.75">
      <c r="A22" s="144"/>
      <c r="B22" s="145"/>
      <c r="C22" s="145"/>
      <c r="D22" s="146">
        <f>SUM(D20:D21)</f>
        <v>143.81666666676756</v>
      </c>
      <c r="E22" s="147"/>
      <c r="F22" s="148"/>
      <c r="G22" s="149"/>
      <c r="H22" s="150"/>
      <c r="I22" s="150"/>
      <c r="J22" s="151">
        <f>SUM(J20:J21)</f>
        <v>0.18333333323244005</v>
      </c>
      <c r="K22" s="151">
        <f>SUM(K20:K21)</f>
        <v>0.18333333323244005</v>
      </c>
      <c r="L22" s="152"/>
      <c r="M22" s="153"/>
      <c r="N22" s="153"/>
      <c r="O22" s="154"/>
      <c r="P22" s="147"/>
      <c r="Q22" s="132">
        <f t="shared" si="0"/>
      </c>
      <c r="R22" s="132">
        <f t="shared" si="1"/>
      </c>
      <c r="S22" s="132">
        <f t="shared" si="2"/>
      </c>
      <c r="T22" s="133">
        <f t="shared" si="3"/>
        <v>0</v>
      </c>
      <c r="U22" s="30"/>
      <c r="V22" s="30"/>
      <c r="W22" s="30"/>
    </row>
    <row r="23" spans="1:23" s="120" customFormat="1" ht="15.75" customHeight="1">
      <c r="A23" s="136">
        <v>11</v>
      </c>
      <c r="B23" s="137">
        <v>42550.333333333336</v>
      </c>
      <c r="C23" s="137">
        <v>42555.333333333336</v>
      </c>
      <c r="D23" s="138">
        <f>(C23-B23)*24</f>
        <v>120</v>
      </c>
      <c r="E23" s="137" t="s">
        <v>67</v>
      </c>
      <c r="F23" s="139"/>
      <c r="G23" s="140"/>
      <c r="H23" s="137"/>
      <c r="I23" s="137"/>
      <c r="J23" s="138">
        <f>(I23-H23)*24</f>
        <v>0</v>
      </c>
      <c r="K23" s="138">
        <f>(I23-H23)*24</f>
        <v>0</v>
      </c>
      <c r="L23" s="141"/>
      <c r="M23" s="142"/>
      <c r="N23" s="142"/>
      <c r="O23" s="143" t="s">
        <v>21</v>
      </c>
      <c r="P23" s="137"/>
      <c r="Q23" s="132">
        <f t="shared" si="0"/>
      </c>
      <c r="R23" s="132">
        <f t="shared" si="1"/>
        <v>1</v>
      </c>
      <c r="S23" s="132">
        <f t="shared" si="2"/>
      </c>
      <c r="T23" s="133">
        <f aca="true" t="shared" si="4" ref="T23:T30">SUM(Q23:S23)</f>
        <v>1</v>
      </c>
      <c r="U23" s="119"/>
      <c r="V23" s="119"/>
      <c r="W23" s="119"/>
    </row>
    <row r="24" spans="1:23" s="155" customFormat="1" ht="12.75">
      <c r="A24" s="144"/>
      <c r="B24" s="145"/>
      <c r="C24" s="145"/>
      <c r="D24" s="146">
        <f>SUM(D23:D23)</f>
        <v>120</v>
      </c>
      <c r="E24" s="147"/>
      <c r="F24" s="148"/>
      <c r="G24" s="149"/>
      <c r="H24" s="150"/>
      <c r="I24" s="150"/>
      <c r="J24" s="151">
        <f>SUM(J23:J23)</f>
        <v>0</v>
      </c>
      <c r="K24" s="151">
        <f>SUM(K23:K23)</f>
        <v>0</v>
      </c>
      <c r="L24" s="152"/>
      <c r="M24" s="153"/>
      <c r="N24" s="153"/>
      <c r="O24" s="154"/>
      <c r="P24" s="147"/>
      <c r="Q24" s="132">
        <f t="shared" si="0"/>
      </c>
      <c r="R24" s="132">
        <f t="shared" si="1"/>
      </c>
      <c r="S24" s="132">
        <f t="shared" si="2"/>
      </c>
      <c r="T24" s="133">
        <f t="shared" si="4"/>
        <v>0</v>
      </c>
      <c r="U24" s="30"/>
      <c r="V24" s="30"/>
      <c r="W24" s="30"/>
    </row>
    <row r="25" spans="1:23" s="120" customFormat="1" ht="15.75" customHeight="1">
      <c r="A25" s="136">
        <v>12</v>
      </c>
      <c r="B25" s="137">
        <v>42556.333333333336</v>
      </c>
      <c r="C25" s="137">
        <v>42562.333333333336</v>
      </c>
      <c r="D25" s="138">
        <f>(C25-B25)*24</f>
        <v>144</v>
      </c>
      <c r="E25" s="137" t="s">
        <v>67</v>
      </c>
      <c r="F25" s="139"/>
      <c r="G25" s="140"/>
      <c r="H25" s="137"/>
      <c r="I25" s="137"/>
      <c r="J25" s="138">
        <f>(I25-H25)*24</f>
        <v>0</v>
      </c>
      <c r="K25" s="138">
        <f>(I25-H25)*24</f>
        <v>0</v>
      </c>
      <c r="L25" s="141"/>
      <c r="M25" s="142"/>
      <c r="N25" s="142"/>
      <c r="O25" s="143" t="s">
        <v>21</v>
      </c>
      <c r="P25" s="137"/>
      <c r="Q25" s="132">
        <f t="shared" si="0"/>
      </c>
      <c r="R25" s="132">
        <f t="shared" si="1"/>
        <v>1</v>
      </c>
      <c r="S25" s="132">
        <f t="shared" si="2"/>
      </c>
      <c r="T25" s="133">
        <f t="shared" si="4"/>
        <v>1</v>
      </c>
      <c r="U25" s="119"/>
      <c r="V25" s="119"/>
      <c r="W25" s="119"/>
    </row>
    <row r="26" spans="1:23" s="155" customFormat="1" ht="12.75">
      <c r="A26" s="144"/>
      <c r="B26" s="145"/>
      <c r="C26" s="145"/>
      <c r="D26" s="146">
        <f>SUM(D25:D25)</f>
        <v>144</v>
      </c>
      <c r="E26" s="147"/>
      <c r="F26" s="148"/>
      <c r="G26" s="149"/>
      <c r="H26" s="150"/>
      <c r="I26" s="150"/>
      <c r="J26" s="151">
        <f>SUM(J25:J25)</f>
        <v>0</v>
      </c>
      <c r="K26" s="151">
        <f>SUM(K25:K25)</f>
        <v>0</v>
      </c>
      <c r="L26" s="152"/>
      <c r="M26" s="153"/>
      <c r="N26" s="153"/>
      <c r="O26" s="154"/>
      <c r="P26" s="147"/>
      <c r="Q26" s="132">
        <f t="shared" si="0"/>
      </c>
      <c r="R26" s="132">
        <f t="shared" si="1"/>
      </c>
      <c r="S26" s="132">
        <f t="shared" si="2"/>
      </c>
      <c r="T26" s="133">
        <f t="shared" si="4"/>
        <v>0</v>
      </c>
      <c r="U26" s="30"/>
      <c r="V26" s="30"/>
      <c r="W26" s="30"/>
    </row>
    <row r="27" spans="1:23" s="120" customFormat="1" ht="15.75" customHeight="1">
      <c r="A27" s="136">
        <v>13</v>
      </c>
      <c r="B27" s="137">
        <v>42563.333333333336</v>
      </c>
      <c r="C27" s="137">
        <v>42569.333333333336</v>
      </c>
      <c r="D27" s="138">
        <f>(C27-B27)*24</f>
        <v>144</v>
      </c>
      <c r="E27" s="137" t="s">
        <v>67</v>
      </c>
      <c r="F27" s="139"/>
      <c r="G27" s="140"/>
      <c r="H27" s="137"/>
      <c r="I27" s="137"/>
      <c r="J27" s="138">
        <f>(I27-H27)*24</f>
        <v>0</v>
      </c>
      <c r="K27" s="138">
        <f>(I27-H27)*24</f>
        <v>0</v>
      </c>
      <c r="L27" s="141"/>
      <c r="M27" s="142"/>
      <c r="N27" s="142"/>
      <c r="O27" s="143" t="s">
        <v>21</v>
      </c>
      <c r="P27" s="137"/>
      <c r="Q27" s="132">
        <f t="shared" si="0"/>
      </c>
      <c r="R27" s="132">
        <f t="shared" si="1"/>
        <v>1</v>
      </c>
      <c r="S27" s="132">
        <f t="shared" si="2"/>
      </c>
      <c r="T27" s="133">
        <f t="shared" si="4"/>
        <v>1</v>
      </c>
      <c r="U27" s="119"/>
      <c r="V27" s="119"/>
      <c r="W27" s="119"/>
    </row>
    <row r="28" spans="1:23" s="155" customFormat="1" ht="12.75">
      <c r="A28" s="144"/>
      <c r="B28" s="145"/>
      <c r="C28" s="145"/>
      <c r="D28" s="146">
        <f>SUM(D27:D27)</f>
        <v>144</v>
      </c>
      <c r="E28" s="147"/>
      <c r="F28" s="148"/>
      <c r="G28" s="149"/>
      <c r="H28" s="150"/>
      <c r="I28" s="150"/>
      <c r="J28" s="151">
        <f>SUM(J27:J27)</f>
        <v>0</v>
      </c>
      <c r="K28" s="151">
        <f>SUM(K27:K27)</f>
        <v>0</v>
      </c>
      <c r="L28" s="152"/>
      <c r="M28" s="153"/>
      <c r="N28" s="153"/>
      <c r="O28" s="154"/>
      <c r="P28" s="147"/>
      <c r="Q28" s="132">
        <f t="shared" si="0"/>
      </c>
      <c r="R28" s="132">
        <f t="shared" si="1"/>
      </c>
      <c r="S28" s="132">
        <f t="shared" si="2"/>
      </c>
      <c r="T28" s="133">
        <f t="shared" si="4"/>
        <v>0</v>
      </c>
      <c r="U28" s="30"/>
      <c r="V28" s="30"/>
      <c r="W28" s="30"/>
    </row>
    <row r="29" spans="1:23" s="135" customFormat="1" ht="12.75">
      <c r="A29" s="136">
        <v>14</v>
      </c>
      <c r="B29" s="137">
        <v>42570.334027777775</v>
      </c>
      <c r="C29" s="137">
        <v>42571.40138888889</v>
      </c>
      <c r="D29" s="138">
        <f>(C29-B29)*24</f>
        <v>25.61666666669771</v>
      </c>
      <c r="E29" s="137" t="s">
        <v>81</v>
      </c>
      <c r="F29" s="139">
        <v>106509</v>
      </c>
      <c r="G29" s="140"/>
      <c r="H29" s="137">
        <v>42571.40138888889</v>
      </c>
      <c r="I29" s="137">
        <v>42571.42222222222</v>
      </c>
      <c r="J29" s="138">
        <f>(I29-H29)*24</f>
        <v>0.5000000000582077</v>
      </c>
      <c r="K29" s="138">
        <f>(I29-H29)*24</f>
        <v>0.5000000000582077</v>
      </c>
      <c r="L29" s="141" t="s">
        <v>23</v>
      </c>
      <c r="M29" s="142" t="s">
        <v>23</v>
      </c>
      <c r="N29" s="142" t="s">
        <v>23</v>
      </c>
      <c r="O29" s="143" t="s">
        <v>17</v>
      </c>
      <c r="P29" s="137"/>
      <c r="Q29" s="132">
        <f t="shared" si="0"/>
        <v>1</v>
      </c>
      <c r="R29" s="132">
        <f t="shared" si="1"/>
      </c>
      <c r="S29" s="132">
        <f t="shared" si="2"/>
      </c>
      <c r="T29" s="133">
        <f t="shared" si="4"/>
        <v>1</v>
      </c>
      <c r="U29" s="134"/>
      <c r="V29" s="134"/>
      <c r="W29" s="134"/>
    </row>
    <row r="30" spans="1:23" s="120" customFormat="1" ht="15.75" customHeight="1">
      <c r="A30" s="124">
        <v>15</v>
      </c>
      <c r="B30" s="125">
        <v>42571.42222222222</v>
      </c>
      <c r="C30" s="125">
        <v>42572.322916666664</v>
      </c>
      <c r="D30" s="156">
        <f>(C30-B30)*24</f>
        <v>21.616666666581295</v>
      </c>
      <c r="E30" s="125" t="s">
        <v>82</v>
      </c>
      <c r="F30" s="127">
        <v>106510</v>
      </c>
      <c r="G30" s="128"/>
      <c r="H30" s="125">
        <v>42572.322916666664</v>
      </c>
      <c r="I30" s="125">
        <v>42572.34652777778</v>
      </c>
      <c r="J30" s="156">
        <f>(I30-H30)*24</f>
        <v>0.56666666676756</v>
      </c>
      <c r="K30" s="156">
        <f>(I30-H30)*24</f>
        <v>0.56666666676756</v>
      </c>
      <c r="L30" s="129" t="s">
        <v>22</v>
      </c>
      <c r="M30" s="130" t="s">
        <v>22</v>
      </c>
      <c r="N30" s="130" t="s">
        <v>22</v>
      </c>
      <c r="O30" s="131" t="s">
        <v>17</v>
      </c>
      <c r="P30" s="125"/>
      <c r="Q30" s="132">
        <f t="shared" si="0"/>
        <v>1</v>
      </c>
      <c r="R30" s="132">
        <f t="shared" si="1"/>
      </c>
      <c r="S30" s="132">
        <f t="shared" si="2"/>
      </c>
      <c r="T30" s="133">
        <f t="shared" si="4"/>
        <v>1</v>
      </c>
      <c r="U30" s="119"/>
      <c r="V30" s="119"/>
      <c r="W30" s="119"/>
    </row>
    <row r="31" spans="1:23" s="135" customFormat="1" ht="12.75">
      <c r="A31" s="136">
        <v>16</v>
      </c>
      <c r="B31" s="137">
        <v>42572.34652777778</v>
      </c>
      <c r="C31" s="137">
        <v>42575.322916666664</v>
      </c>
      <c r="D31" s="138">
        <f>(C31-B31)*24</f>
        <v>71.43333333323244</v>
      </c>
      <c r="E31" s="137" t="s">
        <v>82</v>
      </c>
      <c r="F31" s="139">
        <v>106511</v>
      </c>
      <c r="G31" s="140"/>
      <c r="H31" s="137">
        <v>42575.322916666664</v>
      </c>
      <c r="I31" s="137">
        <v>42575.347916666666</v>
      </c>
      <c r="J31" s="138">
        <f>(I31-H31)*24</f>
        <v>0.6000000000349246</v>
      </c>
      <c r="K31" s="138">
        <f>(I31-H31)*24</f>
        <v>0.6000000000349246</v>
      </c>
      <c r="L31" s="141" t="s">
        <v>22</v>
      </c>
      <c r="M31" s="142" t="s">
        <v>22</v>
      </c>
      <c r="N31" s="142" t="s">
        <v>22</v>
      </c>
      <c r="O31" s="143" t="s">
        <v>17</v>
      </c>
      <c r="P31" s="137"/>
      <c r="Q31" s="132">
        <f t="shared" si="0"/>
        <v>1</v>
      </c>
      <c r="R31" s="132">
        <f t="shared" si="1"/>
      </c>
      <c r="S31" s="132">
        <f t="shared" si="2"/>
      </c>
      <c r="T31" s="133">
        <f aca="true" t="shared" si="5" ref="T31:T37">SUM(Q31:S31)</f>
        <v>1</v>
      </c>
      <c r="U31" s="134"/>
      <c r="V31" s="134"/>
      <c r="W31" s="134"/>
    </row>
    <row r="32" spans="1:23" s="120" customFormat="1" ht="15.75" customHeight="1">
      <c r="A32" s="124">
        <v>17</v>
      </c>
      <c r="B32" s="125">
        <v>42575.347916666666</v>
      </c>
      <c r="C32" s="125">
        <v>42576.333333333336</v>
      </c>
      <c r="D32" s="156">
        <f>(C32-B32)*24</f>
        <v>23.65000000008149</v>
      </c>
      <c r="E32" s="125" t="s">
        <v>67</v>
      </c>
      <c r="F32" s="127"/>
      <c r="G32" s="128"/>
      <c r="H32" s="125"/>
      <c r="I32" s="125"/>
      <c r="J32" s="156">
        <f>(I32-H32)*24</f>
        <v>0</v>
      </c>
      <c r="K32" s="156">
        <f>(I32-H32)*24</f>
        <v>0</v>
      </c>
      <c r="L32" s="129"/>
      <c r="M32" s="130"/>
      <c r="N32" s="130"/>
      <c r="O32" s="131" t="s">
        <v>21</v>
      </c>
      <c r="P32" s="125"/>
      <c r="Q32" s="132">
        <f t="shared" si="0"/>
      </c>
      <c r="R32" s="132">
        <f t="shared" si="1"/>
        <v>1</v>
      </c>
      <c r="S32" s="132">
        <f t="shared" si="2"/>
      </c>
      <c r="T32" s="133">
        <f t="shared" si="5"/>
        <v>1</v>
      </c>
      <c r="U32" s="119"/>
      <c r="V32" s="119"/>
      <c r="W32" s="119"/>
    </row>
    <row r="33" spans="1:23" s="155" customFormat="1" ht="12.75">
      <c r="A33" s="144"/>
      <c r="B33" s="145"/>
      <c r="C33" s="145"/>
      <c r="D33" s="146">
        <f>SUM(D29:D32)</f>
        <v>142.31666666659294</v>
      </c>
      <c r="E33" s="147"/>
      <c r="F33" s="148"/>
      <c r="G33" s="149"/>
      <c r="H33" s="150"/>
      <c r="I33" s="150"/>
      <c r="J33" s="151">
        <f>SUM(J29:J32)</f>
        <v>1.6666666668606922</v>
      </c>
      <c r="K33" s="151">
        <f>SUM(K29:K32)</f>
        <v>1.6666666668606922</v>
      </c>
      <c r="L33" s="152"/>
      <c r="M33" s="153"/>
      <c r="N33" s="153"/>
      <c r="O33" s="154"/>
      <c r="P33" s="147"/>
      <c r="Q33" s="132">
        <f t="shared" si="0"/>
      </c>
      <c r="R33" s="132">
        <f t="shared" si="1"/>
      </c>
      <c r="S33" s="132">
        <f t="shared" si="2"/>
      </c>
      <c r="T33" s="133">
        <f t="shared" si="5"/>
        <v>0</v>
      </c>
      <c r="U33" s="30"/>
      <c r="V33" s="30"/>
      <c r="W33" s="30"/>
    </row>
    <row r="34" spans="1:23" s="120" customFormat="1" ht="15.75" customHeight="1">
      <c r="A34" s="124">
        <v>18</v>
      </c>
      <c r="B34" s="125">
        <v>42578.333333333336</v>
      </c>
      <c r="C34" s="125">
        <v>42579.60277777778</v>
      </c>
      <c r="D34" s="156">
        <f>(C34-B34)*24</f>
        <v>30.46666666661622</v>
      </c>
      <c r="E34" s="125" t="s">
        <v>83</v>
      </c>
      <c r="F34" s="127">
        <v>106522</v>
      </c>
      <c r="G34" s="128"/>
      <c r="H34" s="125">
        <v>42579.60277777778</v>
      </c>
      <c r="I34" s="125">
        <v>42579.69236111111</v>
      </c>
      <c r="J34" s="156">
        <f>(I34-H34)*24</f>
        <v>2.150000000023283</v>
      </c>
      <c r="K34" s="156">
        <f>(I34-H34)*24</f>
        <v>2.150000000023283</v>
      </c>
      <c r="L34" s="129" t="s">
        <v>85</v>
      </c>
      <c r="M34" s="130" t="s">
        <v>85</v>
      </c>
      <c r="N34" s="130" t="s">
        <v>85</v>
      </c>
      <c r="O34" s="131" t="s">
        <v>17</v>
      </c>
      <c r="P34" s="125"/>
      <c r="Q34" s="132">
        <f t="shared" si="0"/>
        <v>1</v>
      </c>
      <c r="R34" s="132">
        <f t="shared" si="1"/>
      </c>
      <c r="S34" s="132">
        <f t="shared" si="2"/>
      </c>
      <c r="T34" s="133">
        <f t="shared" si="5"/>
        <v>1</v>
      </c>
      <c r="U34" s="119"/>
      <c r="V34" s="119"/>
      <c r="W34" s="119"/>
    </row>
    <row r="35" spans="1:23" s="135" customFormat="1" ht="12.75">
      <c r="A35" s="136">
        <v>19</v>
      </c>
      <c r="B35" s="137">
        <v>42579.69236111111</v>
      </c>
      <c r="C35" s="137">
        <v>42579.75208333333</v>
      </c>
      <c r="D35" s="138">
        <f>(C35-B35)*24</f>
        <v>1.4333333332906477</v>
      </c>
      <c r="E35" s="137" t="s">
        <v>84</v>
      </c>
      <c r="F35" s="139">
        <v>106523</v>
      </c>
      <c r="G35" s="140"/>
      <c r="H35" s="137">
        <v>42579.75208333333</v>
      </c>
      <c r="I35" s="137">
        <v>42579.756944444445</v>
      </c>
      <c r="J35" s="138">
        <f>(I35-H35)*24</f>
        <v>0.11666666669771075</v>
      </c>
      <c r="K35" s="138">
        <f>(I35-H35)*24</f>
        <v>0.11666666669771075</v>
      </c>
      <c r="L35" s="141" t="s">
        <v>70</v>
      </c>
      <c r="M35" s="142" t="s">
        <v>70</v>
      </c>
      <c r="N35" s="142" t="s">
        <v>70</v>
      </c>
      <c r="O35" s="143" t="s">
        <v>17</v>
      </c>
      <c r="P35" s="137"/>
      <c r="Q35" s="132">
        <f t="shared" si="0"/>
        <v>1</v>
      </c>
      <c r="R35" s="132">
        <f t="shared" si="1"/>
      </c>
      <c r="S35" s="132">
        <f t="shared" si="2"/>
      </c>
      <c r="T35" s="133">
        <f t="shared" si="5"/>
        <v>1</v>
      </c>
      <c r="U35" s="134"/>
      <c r="V35" s="134"/>
      <c r="W35" s="134"/>
    </row>
    <row r="36" spans="1:23" s="120" customFormat="1" ht="15.75" customHeight="1">
      <c r="A36" s="124">
        <v>20</v>
      </c>
      <c r="B36" s="125">
        <v>42579.756944444445</v>
      </c>
      <c r="C36" s="125">
        <v>42583.333333333336</v>
      </c>
      <c r="D36" s="156">
        <f>(C36-B36)*24</f>
        <v>85.83333333337214</v>
      </c>
      <c r="E36" s="125" t="s">
        <v>67</v>
      </c>
      <c r="F36" s="127"/>
      <c r="G36" s="128"/>
      <c r="H36" s="125"/>
      <c r="I36" s="125"/>
      <c r="J36" s="156">
        <f>(I36-H36)*24</f>
        <v>0</v>
      </c>
      <c r="K36" s="156">
        <f>(I36-H36)*24</f>
        <v>0</v>
      </c>
      <c r="L36" s="129"/>
      <c r="M36" s="130"/>
      <c r="N36" s="130"/>
      <c r="O36" s="131" t="s">
        <v>21</v>
      </c>
      <c r="P36" s="125"/>
      <c r="Q36" s="132">
        <f t="shared" si="0"/>
      </c>
      <c r="R36" s="132">
        <f t="shared" si="1"/>
        <v>1</v>
      </c>
      <c r="S36" s="132">
        <f t="shared" si="2"/>
      </c>
      <c r="T36" s="133">
        <f t="shared" si="5"/>
        <v>1</v>
      </c>
      <c r="U36" s="119"/>
      <c r="V36" s="119"/>
      <c r="W36" s="119"/>
    </row>
    <row r="37" spans="1:23" s="155" customFormat="1" ht="12.75">
      <c r="A37" s="144"/>
      <c r="B37" s="145"/>
      <c r="C37" s="145"/>
      <c r="D37" s="146">
        <f>SUM(D34:D36)</f>
        <v>117.733333333279</v>
      </c>
      <c r="E37" s="147"/>
      <c r="F37" s="148"/>
      <c r="G37" s="149"/>
      <c r="H37" s="150"/>
      <c r="I37" s="150"/>
      <c r="J37" s="151">
        <f>SUM(J34:J36)</f>
        <v>2.266666666720994</v>
      </c>
      <c r="K37" s="151">
        <f>SUM(K34:K36)</f>
        <v>2.266666666720994</v>
      </c>
      <c r="L37" s="152"/>
      <c r="M37" s="153"/>
      <c r="N37" s="153"/>
      <c r="O37" s="154"/>
      <c r="P37" s="147"/>
      <c r="Q37" s="132">
        <f t="shared" si="0"/>
      </c>
      <c r="R37" s="132">
        <f t="shared" si="1"/>
      </c>
      <c r="S37" s="132">
        <f t="shared" si="2"/>
      </c>
      <c r="T37" s="133">
        <f t="shared" si="5"/>
        <v>0</v>
      </c>
      <c r="U37" s="30"/>
      <c r="V37" s="30"/>
      <c r="W37" s="30"/>
    </row>
    <row r="38" spans="1:23" s="120" customFormat="1" ht="15.75" customHeight="1">
      <c r="A38" s="124">
        <v>21</v>
      </c>
      <c r="B38" s="125">
        <v>42584.333333333336</v>
      </c>
      <c r="C38" s="125">
        <v>42588.57083333333</v>
      </c>
      <c r="D38" s="156">
        <f>(C38-B38)*24</f>
        <v>101.69999999989523</v>
      </c>
      <c r="E38" s="125" t="s">
        <v>93</v>
      </c>
      <c r="F38" s="127"/>
      <c r="G38" s="128"/>
      <c r="H38" s="125">
        <v>42588.57083333333</v>
      </c>
      <c r="I38" s="125">
        <v>42588.73541666667</v>
      </c>
      <c r="J38" s="156">
        <f>(I38-H38)*24</f>
        <v>3.950000000128057</v>
      </c>
      <c r="K38" s="156">
        <f>(I38-H38)*24</f>
        <v>3.950000000128057</v>
      </c>
      <c r="L38" s="129" t="s">
        <v>68</v>
      </c>
      <c r="M38" s="130" t="s">
        <v>68</v>
      </c>
      <c r="N38" s="130" t="s">
        <v>68</v>
      </c>
      <c r="O38" s="131" t="s">
        <v>17</v>
      </c>
      <c r="P38" s="125"/>
      <c r="Q38" s="132">
        <f t="shared" si="0"/>
        <v>1</v>
      </c>
      <c r="R38" s="132">
        <f t="shared" si="1"/>
      </c>
      <c r="S38" s="132">
        <f t="shared" si="2"/>
      </c>
      <c r="T38" s="133">
        <f aca="true" t="shared" si="6" ref="T38:T50">SUM(Q38:S38)</f>
        <v>1</v>
      </c>
      <c r="U38" s="119"/>
      <c r="V38" s="119"/>
      <c r="W38" s="119"/>
    </row>
    <row r="39" spans="1:23" s="120" customFormat="1" ht="15.75" customHeight="1">
      <c r="A39" s="136">
        <v>22</v>
      </c>
      <c r="B39" s="137">
        <v>42588.73541666667</v>
      </c>
      <c r="C39" s="137">
        <v>42590.333333333336</v>
      </c>
      <c r="D39" s="138">
        <f>(C39-B39)*24</f>
        <v>38.34999999997672</v>
      </c>
      <c r="E39" s="137" t="s">
        <v>67</v>
      </c>
      <c r="F39" s="139"/>
      <c r="G39" s="140"/>
      <c r="H39" s="137"/>
      <c r="I39" s="137"/>
      <c r="J39" s="138">
        <f>(I39-H39)*24</f>
        <v>0</v>
      </c>
      <c r="K39" s="138">
        <f>(I39-H39)*24</f>
        <v>0</v>
      </c>
      <c r="L39" s="141"/>
      <c r="M39" s="142"/>
      <c r="N39" s="142"/>
      <c r="O39" s="143" t="s">
        <v>21</v>
      </c>
      <c r="P39" s="137"/>
      <c r="Q39" s="132">
        <f t="shared" si="0"/>
      </c>
      <c r="R39" s="132">
        <f t="shared" si="1"/>
        <v>1</v>
      </c>
      <c r="S39" s="132">
        <f t="shared" si="2"/>
      </c>
      <c r="T39" s="133">
        <f t="shared" si="6"/>
        <v>1</v>
      </c>
      <c r="U39" s="119"/>
      <c r="V39" s="119"/>
      <c r="W39" s="119"/>
    </row>
    <row r="40" spans="1:23" s="155" customFormat="1" ht="12.75">
      <c r="A40" s="144"/>
      <c r="B40" s="145"/>
      <c r="C40" s="145"/>
      <c r="D40" s="146">
        <f>SUM(D38:D39)</f>
        <v>140.04999999987194</v>
      </c>
      <c r="E40" s="147"/>
      <c r="F40" s="148"/>
      <c r="G40" s="149"/>
      <c r="H40" s="150"/>
      <c r="I40" s="150"/>
      <c r="J40" s="151">
        <f>SUM(J38:J39)</f>
        <v>3.950000000128057</v>
      </c>
      <c r="K40" s="151">
        <f>SUM(K38:K39)</f>
        <v>3.950000000128057</v>
      </c>
      <c r="L40" s="152"/>
      <c r="M40" s="153"/>
      <c r="N40" s="153"/>
      <c r="O40" s="154"/>
      <c r="P40" s="147"/>
      <c r="Q40" s="132">
        <f t="shared" si="0"/>
      </c>
      <c r="R40" s="132">
        <f t="shared" si="1"/>
      </c>
      <c r="S40" s="132">
        <f t="shared" si="2"/>
      </c>
      <c r="T40" s="133">
        <f t="shared" si="6"/>
        <v>0</v>
      </c>
      <c r="U40" s="30"/>
      <c r="V40" s="30"/>
      <c r="W40" s="30"/>
    </row>
    <row r="41" spans="1:23" s="120" customFormat="1" ht="15.75" customHeight="1">
      <c r="A41" s="124">
        <v>23</v>
      </c>
      <c r="B41" s="125">
        <v>42591.333333333336</v>
      </c>
      <c r="C41" s="125">
        <v>42595.91458333333</v>
      </c>
      <c r="D41" s="156">
        <f>(C41-B41)*24</f>
        <v>109.94999999989523</v>
      </c>
      <c r="E41" s="125" t="s">
        <v>94</v>
      </c>
      <c r="F41" s="127"/>
      <c r="G41" s="128"/>
      <c r="H41" s="125">
        <v>42595.91458333333</v>
      </c>
      <c r="I41" s="125">
        <v>42596.00277777778</v>
      </c>
      <c r="J41" s="156">
        <f>(I41-H41)*24</f>
        <v>2.1166666667559184</v>
      </c>
      <c r="K41" s="156">
        <f>(I41-H41)*24</f>
        <v>2.1166666667559184</v>
      </c>
      <c r="L41" s="129" t="s">
        <v>22</v>
      </c>
      <c r="M41" s="130" t="s">
        <v>22</v>
      </c>
      <c r="N41" s="130" t="s">
        <v>22</v>
      </c>
      <c r="O41" s="131" t="s">
        <v>17</v>
      </c>
      <c r="P41" s="125"/>
      <c r="Q41" s="132">
        <f t="shared" si="0"/>
        <v>1</v>
      </c>
      <c r="R41" s="132">
        <f t="shared" si="1"/>
      </c>
      <c r="S41" s="132">
        <f t="shared" si="2"/>
      </c>
      <c r="T41" s="133">
        <f t="shared" si="6"/>
        <v>1</v>
      </c>
      <c r="U41" s="119"/>
      <c r="V41" s="119"/>
      <c r="W41" s="119"/>
    </row>
    <row r="42" spans="1:23" s="120" customFormat="1" ht="15.75" customHeight="1">
      <c r="A42" s="136">
        <v>24</v>
      </c>
      <c r="B42" s="137">
        <v>42596.00277777778</v>
      </c>
      <c r="C42" s="137">
        <v>42597.333333333336</v>
      </c>
      <c r="D42" s="138">
        <f>(C42-B42)*24</f>
        <v>31.933333333348855</v>
      </c>
      <c r="E42" s="137" t="s">
        <v>67</v>
      </c>
      <c r="F42" s="139"/>
      <c r="G42" s="140"/>
      <c r="H42" s="137"/>
      <c r="I42" s="137"/>
      <c r="J42" s="138">
        <f>(I42-H42)*24</f>
        <v>0</v>
      </c>
      <c r="K42" s="138">
        <f>(I42-H42)*24</f>
        <v>0</v>
      </c>
      <c r="L42" s="141"/>
      <c r="M42" s="142"/>
      <c r="N42" s="142"/>
      <c r="O42" s="143" t="s">
        <v>21</v>
      </c>
      <c r="P42" s="137"/>
      <c r="Q42" s="132">
        <f t="shared" si="0"/>
      </c>
      <c r="R42" s="132">
        <f t="shared" si="1"/>
        <v>1</v>
      </c>
      <c r="S42" s="132">
        <f t="shared" si="2"/>
      </c>
      <c r="T42" s="133">
        <f t="shared" si="6"/>
        <v>1</v>
      </c>
      <c r="U42" s="119"/>
      <c r="V42" s="119"/>
      <c r="W42" s="119"/>
    </row>
    <row r="43" spans="1:23" s="155" customFormat="1" ht="12.75">
      <c r="A43" s="144"/>
      <c r="B43" s="145"/>
      <c r="C43" s="145"/>
      <c r="D43" s="146">
        <f>SUM(D41:D42)</f>
        <v>141.88333333324408</v>
      </c>
      <c r="E43" s="147"/>
      <c r="F43" s="148"/>
      <c r="G43" s="149"/>
      <c r="H43" s="150"/>
      <c r="I43" s="150"/>
      <c r="J43" s="151">
        <f>SUM(J41:J42)</f>
        <v>2.1166666667559184</v>
      </c>
      <c r="K43" s="151">
        <f>SUM(K41:K42)</f>
        <v>2.1166666667559184</v>
      </c>
      <c r="L43" s="152"/>
      <c r="M43" s="153"/>
      <c r="N43" s="153"/>
      <c r="O43" s="154"/>
      <c r="P43" s="147"/>
      <c r="Q43" s="132">
        <f t="shared" si="0"/>
      </c>
      <c r="R43" s="132">
        <f t="shared" si="1"/>
      </c>
      <c r="S43" s="132">
        <f t="shared" si="2"/>
      </c>
      <c r="T43" s="133">
        <f t="shared" si="6"/>
        <v>0</v>
      </c>
      <c r="U43" s="30"/>
      <c r="V43" s="30"/>
      <c r="W43" s="30"/>
    </row>
    <row r="44" spans="1:23" s="135" customFormat="1" ht="12.75">
      <c r="A44" s="124"/>
      <c r="B44" s="125"/>
      <c r="C44" s="125"/>
      <c r="D44" s="126">
        <f aca="true" t="shared" si="7" ref="D44:D49">(C44-B44)*24</f>
        <v>0</v>
      </c>
      <c r="E44" s="125"/>
      <c r="F44" s="127"/>
      <c r="G44" s="128"/>
      <c r="H44" s="125">
        <v>42598.333333333336</v>
      </c>
      <c r="I44" s="125">
        <v>42598.42916666667</v>
      </c>
      <c r="J44" s="126">
        <f aca="true" t="shared" si="8" ref="J44:J49">(I44-H44)*24</f>
        <v>2.2999999999883585</v>
      </c>
      <c r="K44" s="126">
        <f aca="true" t="shared" si="9" ref="K44:K49">(I44-H44)*24</f>
        <v>2.2999999999883585</v>
      </c>
      <c r="L44" s="129" t="s">
        <v>69</v>
      </c>
      <c r="M44" s="130" t="s">
        <v>69</v>
      </c>
      <c r="N44" s="130" t="s">
        <v>69</v>
      </c>
      <c r="O44" s="131" t="s">
        <v>66</v>
      </c>
      <c r="P44" s="125" t="s">
        <v>86</v>
      </c>
      <c r="Q44" s="132">
        <f t="shared" si="0"/>
      </c>
      <c r="R44" s="132">
        <f t="shared" si="1"/>
      </c>
      <c r="S44" s="132">
        <f t="shared" si="2"/>
        <v>1</v>
      </c>
      <c r="T44" s="133">
        <f t="shared" si="6"/>
        <v>1</v>
      </c>
      <c r="U44" s="134"/>
      <c r="V44" s="134"/>
      <c r="W44" s="134"/>
    </row>
    <row r="45" spans="1:23" s="135" customFormat="1" ht="12.75">
      <c r="A45" s="136">
        <v>25</v>
      </c>
      <c r="B45" s="137">
        <v>42598.42916666667</v>
      </c>
      <c r="C45" s="137">
        <v>42600.231944444444</v>
      </c>
      <c r="D45" s="138">
        <f t="shared" si="7"/>
        <v>43.26666666660458</v>
      </c>
      <c r="E45" s="137" t="s">
        <v>98</v>
      </c>
      <c r="F45" s="139"/>
      <c r="G45" s="140"/>
      <c r="H45" s="137">
        <v>42600.231944444444</v>
      </c>
      <c r="I45" s="137">
        <v>42600.25347222222</v>
      </c>
      <c r="J45" s="138">
        <f t="shared" si="8"/>
        <v>0.5166666666045785</v>
      </c>
      <c r="K45" s="138">
        <f t="shared" si="9"/>
        <v>0.5166666666045785</v>
      </c>
      <c r="L45" s="141" t="s">
        <v>97</v>
      </c>
      <c r="M45" s="142" t="s">
        <v>97</v>
      </c>
      <c r="N45" s="142" t="s">
        <v>97</v>
      </c>
      <c r="O45" s="143" t="s">
        <v>17</v>
      </c>
      <c r="P45" s="137"/>
      <c r="Q45" s="132">
        <f t="shared" si="0"/>
        <v>1</v>
      </c>
      <c r="R45" s="132">
        <f t="shared" si="1"/>
      </c>
      <c r="S45" s="132">
        <f t="shared" si="2"/>
      </c>
      <c r="T45" s="133">
        <f t="shared" si="6"/>
        <v>1</v>
      </c>
      <c r="U45" s="134"/>
      <c r="V45" s="134"/>
      <c r="W45" s="134"/>
    </row>
    <row r="46" spans="1:23" s="120" customFormat="1" ht="15.75" customHeight="1">
      <c r="A46" s="124">
        <v>26</v>
      </c>
      <c r="B46" s="125">
        <v>42600.25347222222</v>
      </c>
      <c r="C46" s="125">
        <v>42601.353472222225</v>
      </c>
      <c r="D46" s="156">
        <f t="shared" si="7"/>
        <v>26.4000000001397</v>
      </c>
      <c r="E46" s="125" t="s">
        <v>87</v>
      </c>
      <c r="F46" s="127"/>
      <c r="G46" s="128"/>
      <c r="H46" s="125">
        <v>42601.353472222225</v>
      </c>
      <c r="I46" s="125">
        <v>42601.42569444444</v>
      </c>
      <c r="J46" s="156">
        <f t="shared" si="8"/>
        <v>1.7333333332207985</v>
      </c>
      <c r="K46" s="126">
        <f t="shared" si="9"/>
        <v>1.7333333332207985</v>
      </c>
      <c r="L46" s="129" t="s">
        <v>22</v>
      </c>
      <c r="M46" s="130" t="s">
        <v>22</v>
      </c>
      <c r="N46" s="130" t="s">
        <v>22</v>
      </c>
      <c r="O46" s="131" t="s">
        <v>17</v>
      </c>
      <c r="P46" s="125" t="s">
        <v>92</v>
      </c>
      <c r="Q46" s="132">
        <f t="shared" si="0"/>
        <v>1</v>
      </c>
      <c r="R46" s="132">
        <f t="shared" si="1"/>
      </c>
      <c r="S46" s="132">
        <f t="shared" si="2"/>
      </c>
      <c r="T46" s="133">
        <f t="shared" si="6"/>
        <v>1</v>
      </c>
      <c r="U46" s="119"/>
      <c r="V46" s="119"/>
      <c r="W46" s="119"/>
    </row>
    <row r="47" spans="1:23" s="135" customFormat="1" ht="12.75">
      <c r="A47" s="136">
        <v>28</v>
      </c>
      <c r="B47" s="137">
        <v>42601.42569444444</v>
      </c>
      <c r="C47" s="137">
        <v>42601.629166666666</v>
      </c>
      <c r="D47" s="138">
        <f t="shared" si="7"/>
        <v>4.883333333360497</v>
      </c>
      <c r="E47" s="137" t="s">
        <v>88</v>
      </c>
      <c r="F47" s="139"/>
      <c r="G47" s="140"/>
      <c r="H47" s="137">
        <v>42601.629166666666</v>
      </c>
      <c r="I47" s="137">
        <v>42601.69305555556</v>
      </c>
      <c r="J47" s="138">
        <f t="shared" si="8"/>
        <v>1.5333333334419876</v>
      </c>
      <c r="K47" s="138">
        <f t="shared" si="9"/>
        <v>1.5333333334419876</v>
      </c>
      <c r="L47" s="141" t="s">
        <v>22</v>
      </c>
      <c r="M47" s="142" t="s">
        <v>22</v>
      </c>
      <c r="N47" s="142" t="s">
        <v>22</v>
      </c>
      <c r="O47" s="143" t="s">
        <v>17</v>
      </c>
      <c r="P47" s="137" t="s">
        <v>90</v>
      </c>
      <c r="Q47" s="132">
        <f t="shared" si="0"/>
        <v>1</v>
      </c>
      <c r="R47" s="132">
        <f t="shared" si="1"/>
      </c>
      <c r="S47" s="132">
        <f t="shared" si="2"/>
      </c>
      <c r="T47" s="133">
        <f t="shared" si="6"/>
        <v>1</v>
      </c>
      <c r="U47" s="134"/>
      <c r="V47" s="134"/>
      <c r="W47" s="134"/>
    </row>
    <row r="48" spans="1:23" s="135" customFormat="1" ht="12.75">
      <c r="A48" s="124">
        <v>30</v>
      </c>
      <c r="B48" s="125">
        <v>42601.69305555556</v>
      </c>
      <c r="C48" s="125">
        <v>42602.433333333334</v>
      </c>
      <c r="D48" s="156">
        <f t="shared" si="7"/>
        <v>17.76666666660458</v>
      </c>
      <c r="E48" s="125" t="s">
        <v>89</v>
      </c>
      <c r="F48" s="127"/>
      <c r="G48" s="128"/>
      <c r="H48" s="125">
        <v>42602.433333333334</v>
      </c>
      <c r="I48" s="125">
        <v>42602.49375</v>
      </c>
      <c r="J48" s="156">
        <f t="shared" si="8"/>
        <v>1.4500000000116415</v>
      </c>
      <c r="K48" s="126">
        <f t="shared" si="9"/>
        <v>1.4500000000116415</v>
      </c>
      <c r="L48" s="129" t="s">
        <v>22</v>
      </c>
      <c r="M48" s="130" t="s">
        <v>22</v>
      </c>
      <c r="N48" s="130" t="s">
        <v>22</v>
      </c>
      <c r="O48" s="131" t="s">
        <v>17</v>
      </c>
      <c r="P48" s="125" t="s">
        <v>91</v>
      </c>
      <c r="Q48" s="132">
        <f t="shared" si="0"/>
        <v>1</v>
      </c>
      <c r="R48" s="132">
        <f t="shared" si="1"/>
      </c>
      <c r="S48" s="132">
        <f t="shared" si="2"/>
      </c>
      <c r="T48" s="133">
        <f t="shared" si="6"/>
        <v>1</v>
      </c>
      <c r="U48" s="134"/>
      <c r="V48" s="134"/>
      <c r="W48" s="134"/>
    </row>
    <row r="49" spans="1:23" s="120" customFormat="1" ht="15.75" customHeight="1">
      <c r="A49" s="136">
        <v>31</v>
      </c>
      <c r="B49" s="137">
        <v>42602.49375</v>
      </c>
      <c r="C49" s="137">
        <v>42606.333333333336</v>
      </c>
      <c r="D49" s="138">
        <f t="shared" si="7"/>
        <v>92.15000000002328</v>
      </c>
      <c r="E49" s="137" t="s">
        <v>67</v>
      </c>
      <c r="F49" s="139"/>
      <c r="G49" s="140"/>
      <c r="H49" s="137"/>
      <c r="I49" s="137"/>
      <c r="J49" s="138">
        <f t="shared" si="8"/>
        <v>0</v>
      </c>
      <c r="K49" s="138">
        <f t="shared" si="9"/>
        <v>0</v>
      </c>
      <c r="L49" s="141"/>
      <c r="M49" s="142"/>
      <c r="N49" s="142"/>
      <c r="O49" s="143" t="s">
        <v>21</v>
      </c>
      <c r="P49" s="137"/>
      <c r="Q49" s="132">
        <f t="shared" si="0"/>
      </c>
      <c r="R49" s="132">
        <f t="shared" si="1"/>
        <v>1</v>
      </c>
      <c r="S49" s="132">
        <f t="shared" si="2"/>
      </c>
      <c r="T49" s="133">
        <f t="shared" si="6"/>
        <v>1</v>
      </c>
      <c r="U49" s="119"/>
      <c r="V49" s="119"/>
      <c r="W49" s="119"/>
    </row>
    <row r="50" spans="1:23" s="155" customFormat="1" ht="12.75">
      <c r="A50" s="144"/>
      <c r="B50" s="145"/>
      <c r="C50" s="145"/>
      <c r="D50" s="146">
        <f>SUM(D44:D49)</f>
        <v>184.46666666673264</v>
      </c>
      <c r="E50" s="147"/>
      <c r="F50" s="148"/>
      <c r="G50" s="149"/>
      <c r="H50" s="150"/>
      <c r="I50" s="150"/>
      <c r="J50" s="151">
        <f>SUM(J44:J49)</f>
        <v>7.533333333267365</v>
      </c>
      <c r="K50" s="151">
        <f>SUM(K44:K49)</f>
        <v>7.533333333267365</v>
      </c>
      <c r="L50" s="152"/>
      <c r="M50" s="153"/>
      <c r="N50" s="153"/>
      <c r="O50" s="154"/>
      <c r="P50" s="147"/>
      <c r="Q50" s="132">
        <f t="shared" si="0"/>
      </c>
      <c r="R50" s="132">
        <f t="shared" si="1"/>
      </c>
      <c r="S50" s="132">
        <f t="shared" si="2"/>
      </c>
      <c r="T50" s="133">
        <f t="shared" si="6"/>
        <v>0</v>
      </c>
      <c r="U50" s="30"/>
      <c r="V50" s="30"/>
      <c r="W50" s="30"/>
    </row>
    <row r="51" spans="1:23" s="120" customFormat="1" ht="12.75">
      <c r="A51" s="108"/>
      <c r="B51" s="109"/>
      <c r="C51" s="109"/>
      <c r="D51" s="110"/>
      <c r="E51" s="111"/>
      <c r="F51" s="112"/>
      <c r="G51" s="113"/>
      <c r="H51" s="109"/>
      <c r="I51" s="109"/>
      <c r="J51" s="114"/>
      <c r="K51" s="114"/>
      <c r="L51" s="115"/>
      <c r="M51" s="116"/>
      <c r="N51" s="116"/>
      <c r="O51" s="117"/>
      <c r="P51" s="111"/>
      <c r="Q51" s="118"/>
      <c r="R51" s="118"/>
      <c r="S51" s="118"/>
      <c r="T51" s="118"/>
      <c r="U51" s="119"/>
      <c r="V51" s="119"/>
      <c r="W51" s="119"/>
    </row>
    <row r="52" spans="1:18" ht="12.75">
      <c r="A52" s="28"/>
      <c r="B52" s="14"/>
      <c r="C52" s="34" t="s">
        <v>25</v>
      </c>
      <c r="D52" s="35">
        <f>Q54</f>
        <v>16</v>
      </c>
      <c r="E52" s="16"/>
      <c r="F52" s="29"/>
      <c r="G52" s="18"/>
      <c r="H52" s="19"/>
      <c r="I52" s="19"/>
      <c r="J52" s="36" t="s">
        <v>26</v>
      </c>
      <c r="K52" s="37"/>
      <c r="L52" s="21"/>
      <c r="M52" s="22"/>
      <c r="N52" s="22"/>
      <c r="O52" s="38"/>
      <c r="P52" s="23"/>
      <c r="R52" s="12">
        <f>IF($L52="Scheduled",1,"")</f>
      </c>
    </row>
    <row r="53" spans="1:18" ht="12.75">
      <c r="A53" s="28"/>
      <c r="B53" s="14"/>
      <c r="C53" s="34" t="s">
        <v>27</v>
      </c>
      <c r="D53" s="35">
        <f>D54-D52</f>
        <v>12</v>
      </c>
      <c r="E53" s="16"/>
      <c r="F53" s="29"/>
      <c r="G53" s="18"/>
      <c r="H53" s="19"/>
      <c r="I53" s="19"/>
      <c r="J53" s="15" t="s">
        <v>28</v>
      </c>
      <c r="K53" s="39" t="s">
        <v>13</v>
      </c>
      <c r="L53" s="21"/>
      <c r="M53" s="22"/>
      <c r="N53" s="22"/>
      <c r="O53" s="38"/>
      <c r="P53" s="23"/>
      <c r="R53" s="12">
        <f>IF($L53="Scheduled",1,"")</f>
      </c>
    </row>
    <row r="54" spans="1:29" ht="13.5" thickBot="1">
      <c r="A54" s="28"/>
      <c r="B54" s="14"/>
      <c r="C54" s="34" t="s">
        <v>29</v>
      </c>
      <c r="D54" s="40">
        <f>COUNT(A5:A51)</f>
        <v>28</v>
      </c>
      <c r="E54" s="16"/>
      <c r="F54" s="29"/>
      <c r="G54" s="18"/>
      <c r="H54" s="19"/>
      <c r="I54" s="19"/>
      <c r="J54" s="41">
        <f>SUM(J5:J51)/2</f>
        <v>25.46666666690726</v>
      </c>
      <c r="K54" s="41">
        <f>SUM(K5:K51)/2</f>
        <v>25.46666666690726</v>
      </c>
      <c r="L54" s="21"/>
      <c r="M54" s="22"/>
      <c r="N54" s="22"/>
      <c r="O54" s="38"/>
      <c r="P54" s="23"/>
      <c r="Q54" s="40">
        <f>SUM(Q1:Q51)</f>
        <v>16</v>
      </c>
      <c r="R54" s="40">
        <f>SUM(R1:R51)</f>
        <v>12</v>
      </c>
      <c r="S54" s="40">
        <f>SUM(S1:S51)</f>
        <v>4</v>
      </c>
      <c r="T54" s="40">
        <f>SUM(T1:T51)</f>
        <v>32</v>
      </c>
      <c r="AA54" s="30"/>
      <c r="AB54" s="30"/>
      <c r="AC54" s="30"/>
    </row>
    <row r="55" spans="1:19" ht="13.5" thickTop="1">
      <c r="A55" s="28"/>
      <c r="B55" s="14"/>
      <c r="C55" s="34"/>
      <c r="D55" s="15"/>
      <c r="E55" s="16"/>
      <c r="F55" s="29"/>
      <c r="G55" s="18"/>
      <c r="H55" s="19"/>
      <c r="I55" s="19"/>
      <c r="J55" s="15"/>
      <c r="K55" s="20"/>
      <c r="L55" s="21"/>
      <c r="M55" s="22"/>
      <c r="N55" s="22"/>
      <c r="O55" s="21"/>
      <c r="P55" s="23"/>
      <c r="R55" s="42" t="s">
        <v>21</v>
      </c>
      <c r="S55" s="12" t="s">
        <v>30</v>
      </c>
    </row>
    <row r="56" spans="1:26" ht="12.75">
      <c r="A56" s="28"/>
      <c r="B56" s="14"/>
      <c r="C56" s="34" t="s">
        <v>31</v>
      </c>
      <c r="D56" s="15">
        <f>SUM(D5:D51)/2</f>
        <v>1678.5166666665464</v>
      </c>
      <c r="E56" s="43">
        <f>D56/24</f>
        <v>69.93819444443943</v>
      </c>
      <c r="F56" s="44" t="s">
        <v>32</v>
      </c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>
        <f>IF($O58="Store Lost",1,"")</f>
      </c>
      <c r="T56" s="45"/>
      <c r="U56" s="30"/>
      <c r="V56" s="30"/>
      <c r="W56" s="30"/>
      <c r="X56" s="30"/>
      <c r="Y56" s="30"/>
      <c r="Z56" s="30"/>
    </row>
    <row r="57" spans="1:17" ht="12.75">
      <c r="A57" s="28"/>
      <c r="B57" s="14"/>
      <c r="C57" s="34" t="s">
        <v>33</v>
      </c>
      <c r="D57" s="15">
        <f>J54</f>
        <v>25.46666666690726</v>
      </c>
      <c r="E57" s="16" t="s">
        <v>34</v>
      </c>
      <c r="F57" s="29"/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</row>
    <row r="58" spans="1:17" ht="12.75">
      <c r="A58" s="28"/>
      <c r="B58" s="14"/>
      <c r="C58" s="34" t="s">
        <v>35</v>
      </c>
      <c r="D58" s="40">
        <f>SUM(D56:D57)</f>
        <v>1703.9833333334536</v>
      </c>
      <c r="E58" s="43"/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 t="e">
        <f>IF(#REF!="Store Lost",1,"")</f>
        <v>#REF!</v>
      </c>
    </row>
    <row r="59" spans="1:18" ht="12.75">
      <c r="A59" s="28"/>
      <c r="B59" s="14"/>
      <c r="C59" s="34"/>
      <c r="D59" s="46"/>
      <c r="E59" s="47"/>
      <c r="F59" s="29"/>
      <c r="G59" s="18"/>
      <c r="H59" s="15"/>
      <c r="I59" s="19"/>
      <c r="J59" s="15"/>
      <c r="K59" s="20"/>
      <c r="L59" s="21"/>
      <c r="M59" s="22"/>
      <c r="N59" s="22"/>
      <c r="O59" s="21"/>
      <c r="P59" s="23"/>
      <c r="Q59" s="48">
        <f>Q54+R54</f>
        <v>28</v>
      </c>
      <c r="R59" s="12">
        <f>IF($P60="Store Lost",1,"")</f>
      </c>
    </row>
    <row r="60" spans="1:18" ht="12.75">
      <c r="A60" s="28"/>
      <c r="B60" s="14"/>
      <c r="C60" s="34" t="s">
        <v>36</v>
      </c>
      <c r="D60" s="49">
        <f>IF(D52,D56/D52,D56)</f>
        <v>104.90729166665915</v>
      </c>
      <c r="E60" s="16"/>
      <c r="F60" s="29"/>
      <c r="G60" s="18"/>
      <c r="J60" s="7"/>
      <c r="K60" s="50"/>
      <c r="Q60" s="23"/>
      <c r="R60" s="12">
        <f>IF($P62="Store Lost",1,"")</f>
      </c>
    </row>
    <row r="61" spans="1:18" ht="12.75">
      <c r="A61" s="28"/>
      <c r="B61" s="14"/>
      <c r="C61" s="34" t="s">
        <v>37</v>
      </c>
      <c r="D61" s="46">
        <f>IF(D52,24/D60,0)</f>
        <v>0.22877342097687095</v>
      </c>
      <c r="E61" s="51"/>
      <c r="F61" s="52"/>
      <c r="G61" s="53"/>
      <c r="K61" s="50"/>
      <c r="Q61" s="23"/>
      <c r="R61" s="12" t="e">
        <f>NA()</f>
        <v>#N/A</v>
      </c>
    </row>
    <row r="62" spans="1:18" ht="12.75">
      <c r="A62" s="28"/>
      <c r="B62" s="14"/>
      <c r="C62" s="34" t="s">
        <v>38</v>
      </c>
      <c r="D62" s="121">
        <f>D56/D58</f>
        <v>0.9850546269034877</v>
      </c>
      <c r="E62" s="54"/>
      <c r="F62" s="29"/>
      <c r="G62" s="18"/>
      <c r="K62" s="50"/>
      <c r="Q62" s="23"/>
      <c r="R62" s="12" t="e">
        <f>NA()</f>
        <v>#N/A</v>
      </c>
    </row>
    <row r="63" spans="1:29" s="55" customFormat="1" ht="12.75">
      <c r="A63" s="28"/>
      <c r="B63" s="14"/>
      <c r="C63" s="14"/>
      <c r="D63" s="15"/>
      <c r="E63" s="16"/>
      <c r="F63" s="29"/>
      <c r="G63" s="18"/>
      <c r="H63" s="7"/>
      <c r="I63" s="7"/>
      <c r="J63" s="3"/>
      <c r="K63" s="50"/>
      <c r="L63" s="9"/>
      <c r="M63" s="10"/>
      <c r="N63" s="10"/>
      <c r="O63" s="9"/>
      <c r="P63" s="11"/>
      <c r="Q63" s="23"/>
      <c r="R63" s="12">
        <f aca="true" t="shared" si="10" ref="R63:R71">IF($P65="Store Lost",1,"")</f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18" ht="12.75">
      <c r="A64" s="28"/>
      <c r="B64" s="14"/>
      <c r="C64" s="14"/>
      <c r="D64" s="15"/>
      <c r="E64" s="16"/>
      <c r="F64" s="29"/>
      <c r="G64" s="18"/>
      <c r="K64" s="50"/>
      <c r="Q64" s="23"/>
      <c r="R64" s="12">
        <f t="shared" si="10"/>
      </c>
    </row>
    <row r="65" spans="1:18" ht="12.75">
      <c r="A65" s="28"/>
      <c r="B65" s="14"/>
      <c r="C65" s="14"/>
      <c r="D65" s="15"/>
      <c r="E65" s="16"/>
      <c r="F65" s="29"/>
      <c r="G65" s="18"/>
      <c r="K65" s="50"/>
      <c r="Q65" s="23"/>
      <c r="R65" s="12">
        <f t="shared" si="10"/>
      </c>
    </row>
    <row r="66" spans="1:18" ht="12.75">
      <c r="A66" s="28"/>
      <c r="B66" s="14"/>
      <c r="C66" s="14"/>
      <c r="D66" s="15"/>
      <c r="E66" s="16"/>
      <c r="F66" s="29"/>
      <c r="G66" s="18"/>
      <c r="K66" s="50"/>
      <c r="Q66" s="23"/>
      <c r="R66" s="12">
        <f t="shared" si="10"/>
      </c>
    </row>
    <row r="67" spans="1:18" ht="12.75">
      <c r="A67" s="28"/>
      <c r="B67" s="14"/>
      <c r="C67" s="14"/>
      <c r="D67" s="15"/>
      <c r="E67" s="16"/>
      <c r="F67" s="29"/>
      <c r="G67" s="18"/>
      <c r="K67" s="50"/>
      <c r="Q67" s="23"/>
      <c r="R67" s="12">
        <f t="shared" si="10"/>
      </c>
    </row>
    <row r="68" spans="1:18" ht="12.75">
      <c r="A68" s="28"/>
      <c r="B68" s="14"/>
      <c r="C68" s="14"/>
      <c r="D68" s="15"/>
      <c r="E68" s="16"/>
      <c r="F68" s="29"/>
      <c r="G68" s="18"/>
      <c r="K68" s="50"/>
      <c r="Q68" s="23"/>
      <c r="R68" s="12">
        <f t="shared" si="10"/>
      </c>
    </row>
    <row r="69" spans="1:18" ht="12.75">
      <c r="A69" s="28"/>
      <c r="B69" s="14"/>
      <c r="C69" s="14"/>
      <c r="D69" s="15"/>
      <c r="E69" s="16"/>
      <c r="F69" s="29"/>
      <c r="G69" s="18"/>
      <c r="K69" s="50"/>
      <c r="Q69" s="23"/>
      <c r="R69" s="12">
        <f t="shared" si="10"/>
      </c>
    </row>
    <row r="70" spans="1:18" ht="12.75">
      <c r="A70" s="28"/>
      <c r="B70" s="14"/>
      <c r="C70" s="14"/>
      <c r="D70" s="15"/>
      <c r="E70" s="16"/>
      <c r="F70" s="29"/>
      <c r="G70" s="18"/>
      <c r="K70" s="50"/>
      <c r="Q70" s="23"/>
      <c r="R70" s="12">
        <f t="shared" si="10"/>
      </c>
    </row>
    <row r="71" spans="1:18" ht="12.75">
      <c r="A71" s="28"/>
      <c r="B71" s="14"/>
      <c r="C71" s="14"/>
      <c r="D71" s="15"/>
      <c r="E71" s="16"/>
      <c r="F71" s="29"/>
      <c r="G71" s="18"/>
      <c r="K71" s="50"/>
      <c r="Q71" s="23"/>
      <c r="R71" s="12">
        <f t="shared" si="10"/>
      </c>
    </row>
    <row r="72" spans="1:29" s="56" customFormat="1" ht="12.75">
      <c r="A72" s="28"/>
      <c r="B72" s="14"/>
      <c r="C72" s="14"/>
      <c r="D72" s="15"/>
      <c r="E72" s="16"/>
      <c r="F72" s="29"/>
      <c r="G72" s="18"/>
      <c r="H72" s="7"/>
      <c r="I72" s="7"/>
      <c r="J72" s="3"/>
      <c r="K72" s="50"/>
      <c r="L72" s="9"/>
      <c r="M72" s="10"/>
      <c r="N72" s="10"/>
      <c r="O72" s="9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30" customFormat="1" ht="12.75">
      <c r="A73" s="28"/>
      <c r="B73" s="14"/>
      <c r="C73" s="14"/>
      <c r="D73" s="15"/>
      <c r="E73" s="16"/>
      <c r="F73" s="29"/>
      <c r="G73" s="18"/>
      <c r="H73" s="7"/>
      <c r="I73" s="7"/>
      <c r="J73" s="3"/>
      <c r="K73" s="50"/>
      <c r="L73" s="9"/>
      <c r="M73" s="10"/>
      <c r="N73" s="10"/>
      <c r="O73" s="9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5"/>
      <c r="AB73" s="55"/>
      <c r="AC73" s="55"/>
    </row>
    <row r="74" spans="1:16" ht="12.75">
      <c r="A74" s="28"/>
      <c r="B74" s="14"/>
      <c r="C74" s="14"/>
      <c r="D74" s="15"/>
      <c r="E74" s="16"/>
      <c r="F74" s="29"/>
      <c r="G74" s="18"/>
      <c r="H74" s="19"/>
      <c r="I74" s="19"/>
      <c r="J74" s="15"/>
      <c r="K74" s="20"/>
      <c r="L74" s="21"/>
      <c r="M74" s="22"/>
      <c r="N74" s="22"/>
      <c r="O74" s="21"/>
      <c r="P74" s="23"/>
    </row>
    <row r="75" spans="1:26" ht="12.75">
      <c r="A75" s="28"/>
      <c r="B75" s="14"/>
      <c r="C75" s="14"/>
      <c r="E75" s="16"/>
      <c r="F75" s="29"/>
      <c r="G75" s="18"/>
      <c r="H75" s="19"/>
      <c r="I75" s="19"/>
      <c r="L75" s="21"/>
      <c r="M75" s="22"/>
      <c r="N75" s="22"/>
      <c r="O75" s="21"/>
      <c r="P75" s="23"/>
      <c r="U75" s="55"/>
      <c r="V75" s="55"/>
      <c r="W75" s="55"/>
      <c r="X75" s="55"/>
      <c r="Y75" s="55"/>
      <c r="Z75" s="55"/>
    </row>
    <row r="76" spans="1:16" ht="12.75">
      <c r="A76" s="28"/>
      <c r="B76" s="14"/>
      <c r="C76" s="14"/>
      <c r="E76" s="16"/>
      <c r="F76" s="29"/>
      <c r="G76" s="18"/>
      <c r="H76" s="19"/>
      <c r="I76" s="19"/>
      <c r="L76" s="21"/>
      <c r="M76" s="22"/>
      <c r="N76" s="22"/>
      <c r="O76" s="21"/>
      <c r="P76" s="23"/>
    </row>
    <row r="77" spans="1:16" ht="12.75">
      <c r="A77" s="28"/>
      <c r="B77" s="14"/>
      <c r="C77" s="14"/>
      <c r="E77" s="16"/>
      <c r="F77" s="29"/>
      <c r="G77" s="18"/>
      <c r="H77" s="19"/>
      <c r="I77" s="19"/>
      <c r="L77" s="21"/>
      <c r="M77" s="22"/>
      <c r="N77" s="22"/>
      <c r="O77" s="21"/>
      <c r="P77" s="23"/>
    </row>
    <row r="78" spans="1:16" ht="12.75">
      <c r="A78" s="28"/>
      <c r="B78" s="14"/>
      <c r="C78" s="14"/>
      <c r="F78" s="29"/>
      <c r="G78" s="18"/>
      <c r="H78" s="19"/>
      <c r="I78" s="19"/>
      <c r="L78" s="21"/>
      <c r="M78" s="22"/>
      <c r="N78" s="22"/>
      <c r="O78" s="21"/>
      <c r="P78" s="23"/>
    </row>
    <row r="79" spans="1:20" ht="12.75">
      <c r="A79" s="28"/>
      <c r="B79" s="14"/>
      <c r="C79" s="14"/>
      <c r="F79" s="29"/>
      <c r="G79" s="18"/>
      <c r="H79" s="19"/>
      <c r="I79" s="19"/>
      <c r="L79" s="21"/>
      <c r="M79" s="22"/>
      <c r="N79" s="22"/>
      <c r="O79" s="21"/>
      <c r="P79" s="23"/>
      <c r="R79" s="55"/>
      <c r="S79" s="55"/>
      <c r="T79" s="55"/>
    </row>
    <row r="80" spans="2:16" ht="12.75"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2:17" ht="12.75"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Q81" s="12">
        <f aca="true" t="shared" si="11" ref="Q81:Q112">IF($O83="Store Lost",1,"")</f>
      </c>
    </row>
    <row r="82" spans="2:29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  <c r="Q82" s="12">
        <f t="shared" si="11"/>
      </c>
      <c r="AA82" s="56"/>
      <c r="AB82" s="56"/>
      <c r="AC82" s="56"/>
    </row>
    <row r="83" spans="2:29" ht="12.75">
      <c r="B83" s="14"/>
      <c r="C83" s="14"/>
      <c r="Q83" s="12">
        <f t="shared" si="11"/>
      </c>
      <c r="AA83" s="30"/>
      <c r="AB83" s="30"/>
      <c r="AC83" s="30"/>
    </row>
    <row r="84" spans="17:26" ht="12.75">
      <c r="Q84" s="12">
        <f t="shared" si="11"/>
      </c>
      <c r="U84" s="56"/>
      <c r="V84" s="56"/>
      <c r="W84" s="56"/>
      <c r="X84" s="56"/>
      <c r="Y84" s="56"/>
      <c r="Z84" s="56"/>
    </row>
    <row r="85" spans="17:26" ht="12.75">
      <c r="Q85" s="12">
        <f t="shared" si="11"/>
      </c>
      <c r="U85" s="30"/>
      <c r="V85" s="30"/>
      <c r="W85" s="30"/>
      <c r="X85" s="30"/>
      <c r="Y85" s="30"/>
      <c r="Z85" s="30"/>
    </row>
    <row r="86" spans="1:29" s="55" customFormat="1" ht="12.75">
      <c r="A86" s="1"/>
      <c r="B86" s="2"/>
      <c r="C86" s="2"/>
      <c r="D86" s="3"/>
      <c r="E86" s="4"/>
      <c r="F86" s="5"/>
      <c r="G86" s="6"/>
      <c r="H86" s="7"/>
      <c r="I86" s="7"/>
      <c r="J86" s="3"/>
      <c r="K86" s="8"/>
      <c r="L86" s="9"/>
      <c r="M86" s="10"/>
      <c r="N86" s="10"/>
      <c r="O86" s="9"/>
      <c r="P86" s="11"/>
      <c r="Q86" s="12">
        <f t="shared" si="11"/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2.75">
      <c r="Q87" s="12">
        <f t="shared" si="11"/>
      </c>
    </row>
    <row r="88" spans="17:20" ht="12.75">
      <c r="Q88" s="12">
        <f t="shared" si="11"/>
      </c>
      <c r="R88" s="56"/>
      <c r="S88" s="56"/>
      <c r="T88" s="56"/>
    </row>
    <row r="89" spans="17:20" ht="12.75">
      <c r="Q89" s="12">
        <f t="shared" si="11"/>
      </c>
      <c r="R89" s="30"/>
      <c r="S89" s="30"/>
      <c r="T89" s="30"/>
    </row>
    <row r="90" ht="12.75">
      <c r="Q90" s="12">
        <f t="shared" si="11"/>
      </c>
    </row>
    <row r="91" ht="12.75">
      <c r="Q91" s="12">
        <f t="shared" si="11"/>
      </c>
    </row>
    <row r="92" ht="12.75">
      <c r="Q92" s="12">
        <f t="shared" si="11"/>
      </c>
    </row>
    <row r="93" ht="12.75">
      <c r="Q93" s="12">
        <f t="shared" si="11"/>
      </c>
    </row>
    <row r="94" ht="12.75">
      <c r="Q94" s="12">
        <f t="shared" si="11"/>
      </c>
    </row>
    <row r="95" ht="12.75">
      <c r="Q95" s="12">
        <f t="shared" si="11"/>
      </c>
    </row>
    <row r="96" spans="17:29" ht="12.75">
      <c r="Q96" s="12">
        <f t="shared" si="11"/>
      </c>
      <c r="AA96" s="55"/>
      <c r="AB96" s="55"/>
      <c r="AC96" s="55"/>
    </row>
    <row r="97" ht="12.75">
      <c r="Q97" s="12">
        <f t="shared" si="11"/>
      </c>
    </row>
    <row r="98" spans="17:26" ht="12.75">
      <c r="Q98" s="12">
        <f t="shared" si="11"/>
      </c>
      <c r="U98" s="55"/>
      <c r="V98" s="55"/>
      <c r="W98" s="55"/>
      <c r="X98" s="55"/>
      <c r="Y98" s="55"/>
      <c r="Z98" s="55"/>
    </row>
    <row r="99" spans="1:29" s="55" customFormat="1" ht="12.75">
      <c r="A99" s="1"/>
      <c r="B99" s="2"/>
      <c r="C99" s="2"/>
      <c r="D99" s="3"/>
      <c r="E99" s="4"/>
      <c r="F99" s="5"/>
      <c r="G99" s="6"/>
      <c r="H99" s="7"/>
      <c r="I99" s="7"/>
      <c r="J99" s="3"/>
      <c r="K99" s="8"/>
      <c r="L99" s="9"/>
      <c r="M99" s="10"/>
      <c r="N99" s="10"/>
      <c r="O99" s="9"/>
      <c r="P99" s="11"/>
      <c r="Q99" s="12">
        <f t="shared" si="11"/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30" customFormat="1" ht="12.75">
      <c r="A100" s="1"/>
      <c r="B100" s="2"/>
      <c r="C100" s="2"/>
      <c r="D100" s="3"/>
      <c r="E100" s="4"/>
      <c r="F100" s="5"/>
      <c r="G100" s="6"/>
      <c r="H100" s="7"/>
      <c r="I100" s="7"/>
      <c r="J100" s="3"/>
      <c r="K100" s="8"/>
      <c r="L100" s="9"/>
      <c r="M100" s="10"/>
      <c r="N100" s="10"/>
      <c r="O100" s="9"/>
      <c r="P100" s="11"/>
      <c r="Q100" s="12">
        <f t="shared" si="11"/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s="55" customFormat="1" ht="12.75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>
        <f t="shared" si="11"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7:20" ht="12.75">
      <c r="Q102" s="12">
        <f t="shared" si="11"/>
      </c>
      <c r="R102" s="55"/>
      <c r="S102" s="55"/>
      <c r="T102" s="55"/>
    </row>
    <row r="103" ht="12.75">
      <c r="Q103" s="12">
        <f t="shared" si="11"/>
      </c>
    </row>
    <row r="104" ht="12.75">
      <c r="Q104" s="12">
        <f t="shared" si="11"/>
      </c>
    </row>
    <row r="105" ht="12.75">
      <c r="Q105" s="12">
        <f t="shared" si="11"/>
      </c>
    </row>
    <row r="106" ht="12.75">
      <c r="Q106" s="12">
        <f t="shared" si="11"/>
      </c>
    </row>
    <row r="107" ht="12.75">
      <c r="Q107" s="12">
        <f t="shared" si="11"/>
      </c>
    </row>
    <row r="108" ht="12.75">
      <c r="Q108" s="12">
        <f t="shared" si="11"/>
      </c>
    </row>
    <row r="109" spans="17:29" ht="12.75">
      <c r="Q109" s="12">
        <f t="shared" si="11"/>
      </c>
      <c r="AA109" s="55"/>
      <c r="AB109" s="55"/>
      <c r="AC109" s="55"/>
    </row>
    <row r="110" spans="17:29" ht="12.75">
      <c r="Q110" s="12">
        <f t="shared" si="11"/>
      </c>
      <c r="AA110" s="30"/>
      <c r="AB110" s="30"/>
      <c r="AC110" s="30"/>
    </row>
    <row r="111" spans="17:29" ht="12.75">
      <c r="Q111" s="12">
        <f t="shared" si="11"/>
      </c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7:26" ht="12.75">
      <c r="Q112" s="12">
        <f t="shared" si="11"/>
      </c>
      <c r="U112" s="30"/>
      <c r="V112" s="30"/>
      <c r="W112" s="30"/>
      <c r="X112" s="30"/>
      <c r="Y112" s="30"/>
      <c r="Z112" s="30"/>
    </row>
    <row r="113" spans="17:26" ht="12.75">
      <c r="Q113" s="12">
        <f aca="true" t="shared" si="12" ref="Q113:Q138">IF($O115="Store Lost",1,"")</f>
      </c>
      <c r="U113" s="55"/>
      <c r="V113" s="55"/>
      <c r="W113" s="55"/>
      <c r="X113" s="55"/>
      <c r="Y113" s="55"/>
      <c r="Z113" s="55"/>
    </row>
    <row r="114" ht="12.75">
      <c r="Q114" s="12">
        <f t="shared" si="12"/>
      </c>
    </row>
    <row r="115" spans="17:20" ht="12.75">
      <c r="Q115" s="12">
        <f t="shared" si="12"/>
      </c>
      <c r="R115" s="55"/>
      <c r="S115" s="55"/>
      <c r="T115" s="55"/>
    </row>
    <row r="116" spans="17:20" ht="12.75">
      <c r="Q116" s="12">
        <f t="shared" si="12"/>
      </c>
      <c r="R116" s="30"/>
      <c r="S116" s="30"/>
      <c r="T116" s="30"/>
    </row>
    <row r="117" spans="17:20" ht="12.75">
      <c r="Q117" s="12">
        <f t="shared" si="12"/>
      </c>
      <c r="R117" s="55"/>
      <c r="S117" s="55"/>
      <c r="T117" s="55"/>
    </row>
    <row r="118" ht="12.75">
      <c r="Q118" s="12">
        <f t="shared" si="12"/>
      </c>
    </row>
    <row r="119" ht="12.75">
      <c r="Q119" s="12">
        <f t="shared" si="12"/>
      </c>
    </row>
    <row r="120" ht="12.75">
      <c r="Q120" s="12">
        <f t="shared" si="12"/>
      </c>
    </row>
    <row r="121" ht="12.75">
      <c r="Q121" s="12">
        <f t="shared" si="12"/>
      </c>
    </row>
    <row r="122" spans="1:29" s="55" customFormat="1" ht="12.75">
      <c r="A122" s="1"/>
      <c r="B122" s="2"/>
      <c r="C122" s="2"/>
      <c r="D122" s="3"/>
      <c r="E122" s="4"/>
      <c r="F122" s="5"/>
      <c r="G122" s="6"/>
      <c r="H122" s="7"/>
      <c r="I122" s="7"/>
      <c r="J122" s="3"/>
      <c r="K122" s="8"/>
      <c r="L122" s="9"/>
      <c r="M122" s="10"/>
      <c r="N122" s="10"/>
      <c r="O122" s="9"/>
      <c r="P122" s="11"/>
      <c r="Q122" s="12">
        <f t="shared" si="12"/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ht="12.75">
      <c r="Q123" s="12">
        <f t="shared" si="12"/>
      </c>
    </row>
    <row r="124" ht="12.75">
      <c r="Q124" s="12">
        <f t="shared" si="12"/>
      </c>
    </row>
    <row r="125" ht="12.75">
      <c r="Q125" s="12">
        <f t="shared" si="12"/>
      </c>
    </row>
    <row r="126" ht="12.75">
      <c r="Q126" s="12">
        <f t="shared" si="12"/>
      </c>
    </row>
    <row r="127" ht="12.75">
      <c r="Q127" s="12">
        <f t="shared" si="12"/>
      </c>
    </row>
    <row r="128" ht="12.75">
      <c r="Q128" s="12">
        <f t="shared" si="12"/>
      </c>
    </row>
    <row r="129" ht="12.75">
      <c r="Q129" s="12">
        <f t="shared" si="12"/>
      </c>
    </row>
    <row r="130" ht="12.75">
      <c r="Q130" s="12">
        <f t="shared" si="12"/>
      </c>
    </row>
    <row r="131" ht="12.75">
      <c r="Q131" s="12">
        <f t="shared" si="12"/>
      </c>
    </row>
    <row r="132" spans="17:29" ht="12.75">
      <c r="Q132" s="12">
        <f t="shared" si="12"/>
      </c>
      <c r="AA132" s="55"/>
      <c r="AB132" s="55"/>
      <c r="AC132" s="55"/>
    </row>
    <row r="133" ht="12.75">
      <c r="Q133" s="12">
        <f t="shared" si="12"/>
      </c>
    </row>
    <row r="134" spans="17:26" ht="12.75">
      <c r="Q134" s="12">
        <f t="shared" si="12"/>
      </c>
      <c r="U134" s="55"/>
      <c r="V134" s="55"/>
      <c r="W134" s="55"/>
      <c r="X134" s="55"/>
      <c r="Y134" s="55"/>
      <c r="Z134" s="55"/>
    </row>
    <row r="135" ht="12.75">
      <c r="Q135" s="12">
        <f t="shared" si="12"/>
      </c>
    </row>
    <row r="136" ht="12.75">
      <c r="Q136" s="12">
        <f t="shared" si="12"/>
      </c>
    </row>
    <row r="137" ht="12.75">
      <c r="Q137" s="12">
        <f t="shared" si="12"/>
      </c>
    </row>
    <row r="138" spans="17:20" ht="12.75">
      <c r="Q138" s="12">
        <f t="shared" si="12"/>
      </c>
      <c r="R138" s="55"/>
      <c r="S138" s="55"/>
      <c r="T138" s="55"/>
    </row>
    <row r="142" ht="12.75">
      <c r="Q142" s="12">
        <f>COUNT(Q51:Q138)</f>
        <v>2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21.8515625" style="0" customWidth="1"/>
    <col min="2" max="9" width="12.00390625" style="0" customWidth="1"/>
    <col min="10" max="10" width="10.57421875" style="0" customWidth="1"/>
    <col min="11" max="11" width="12.00390625" style="0" customWidth="1"/>
    <col min="12" max="12" width="10.574218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0" ht="12.75">
      <c r="A3" s="79"/>
      <c r="B3" s="82" t="s">
        <v>14</v>
      </c>
      <c r="C3" s="81"/>
      <c r="D3" s="81"/>
      <c r="E3" s="81"/>
      <c r="F3" s="81"/>
      <c r="G3" s="81"/>
      <c r="H3" s="81"/>
      <c r="I3" s="81"/>
      <c r="J3" s="83"/>
    </row>
    <row r="4" spans="1:10" ht="12.75">
      <c r="A4" s="82" t="s">
        <v>39</v>
      </c>
      <c r="B4" s="79" t="s">
        <v>22</v>
      </c>
      <c r="C4" s="84" t="s">
        <v>23</v>
      </c>
      <c r="D4" s="84" t="s">
        <v>69</v>
      </c>
      <c r="E4" s="84" t="s">
        <v>65</v>
      </c>
      <c r="F4" s="84" t="s">
        <v>68</v>
      </c>
      <c r="G4" s="84" t="s">
        <v>85</v>
      </c>
      <c r="H4" s="84" t="s">
        <v>97</v>
      </c>
      <c r="I4" s="84" t="s">
        <v>70</v>
      </c>
      <c r="J4" s="85" t="s">
        <v>59</v>
      </c>
    </row>
    <row r="5" spans="1:10" ht="12.75">
      <c r="A5" s="79" t="s">
        <v>40</v>
      </c>
      <c r="B5" s="86">
        <v>2</v>
      </c>
      <c r="C5" s="87">
        <v>0</v>
      </c>
      <c r="D5" s="87">
        <v>2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8">
        <v>4</v>
      </c>
    </row>
    <row r="6" spans="1:10" ht="12.75">
      <c r="A6" s="90" t="s">
        <v>41</v>
      </c>
      <c r="B6" s="91">
        <v>8</v>
      </c>
      <c r="C6" s="70">
        <v>3</v>
      </c>
      <c r="D6" s="70">
        <v>0</v>
      </c>
      <c r="E6" s="70">
        <v>1</v>
      </c>
      <c r="F6" s="70">
        <v>1</v>
      </c>
      <c r="G6" s="70">
        <v>1</v>
      </c>
      <c r="H6" s="70">
        <v>1</v>
      </c>
      <c r="I6" s="70">
        <v>1</v>
      </c>
      <c r="J6" s="92">
        <v>16</v>
      </c>
    </row>
    <row r="7" spans="1:10" ht="12.75">
      <c r="A7" s="97" t="s">
        <v>71</v>
      </c>
      <c r="B7" s="168">
        <v>13.533333333441988</v>
      </c>
      <c r="C7" s="169">
        <v>2.550000000104774</v>
      </c>
      <c r="D7" s="167">
        <v>2.4666666666744277</v>
      </c>
      <c r="E7" s="167">
        <v>0.18333333323244005</v>
      </c>
      <c r="F7" s="167">
        <v>3.950000000128057</v>
      </c>
      <c r="G7" s="167">
        <v>2.150000000023283</v>
      </c>
      <c r="H7" s="167">
        <v>0.5166666666045785</v>
      </c>
      <c r="I7" s="167">
        <v>0.11666666669771075</v>
      </c>
      <c r="J7" s="98">
        <v>25.46666666690726</v>
      </c>
    </row>
    <row r="13" spans="2:20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58" t="s">
        <v>51</v>
      </c>
      <c r="L13" s="58" t="s">
        <v>52</v>
      </c>
      <c r="M13" s="58" t="s">
        <v>53</v>
      </c>
      <c r="N13" s="58" t="s">
        <v>54</v>
      </c>
      <c r="O13" s="58" t="s">
        <v>55</v>
      </c>
      <c r="P13" s="58" t="s">
        <v>56</v>
      </c>
      <c r="Q13" s="59" t="s">
        <v>57</v>
      </c>
      <c r="R13" s="60" t="s">
        <v>58</v>
      </c>
      <c r="S13" s="60" t="s">
        <v>59</v>
      </c>
      <c r="T13" s="61" t="s">
        <v>60</v>
      </c>
    </row>
    <row r="14" spans="1:20" s="65" customFormat="1" ht="12.75">
      <c r="A14" s="122" t="s">
        <v>96</v>
      </c>
      <c r="B14" s="170">
        <f>IF(B16,SUM(B16/B25),"")</f>
        <v>0.001496493510365669</v>
      </c>
      <c r="C14" s="170">
        <f>IF(C16,SUM(C16/B25),"")</f>
        <v>0.0014475884936321287</v>
      </c>
      <c r="D14" s="170">
        <f>IF(D16,SUM(D16/B25),"")</f>
        <v>0.00794217470834478</v>
      </c>
      <c r="E14" s="170">
        <f>IF(E16,SUM(E16/B25),"")</f>
        <v>0.0003032111033585278</v>
      </c>
      <c r="F14" s="170">
        <f>IF(F16,SUM(F16/B25),"")</f>
        <v>0.0023180977905463344</v>
      </c>
      <c r="G14" s="170">
        <f>IF(G16,SUM(G16/B25),"")</f>
      </c>
      <c r="H14" s="170">
        <f>IF(H16,SUM(H16/B25),"")</f>
      </c>
      <c r="I14" s="170">
        <f>IF(I16,SUM(I16/B25),"")</f>
      </c>
      <c r="J14" s="170" t="e">
        <f>IF(J16,SUM(J16/C25),"")</f>
        <v>#DIV/0!</v>
      </c>
      <c r="K14" s="170">
        <f>IF(K16,SUM(K16/D25),"")</f>
      </c>
      <c r="L14" s="170">
        <f>IF(L16,SUM(L16/E25),"")</f>
      </c>
      <c r="M14" s="170">
        <f>IF(M16,SUM(M16/B25),"")</f>
      </c>
      <c r="N14" s="170"/>
      <c r="O14" s="170">
        <f>IF(P16,SUM(P16/C25),"")</f>
      </c>
      <c r="P14" s="170">
        <f>IF(P16,SUM(P16/B25),"")</f>
      </c>
      <c r="Q14" s="63">
        <f>IF(Q16,SUM(Q16/B25),"")</f>
      </c>
      <c r="R14" s="63">
        <f>IF(R16,SUM(R16/B25),"")</f>
        <v>6.846702336546867E-05</v>
      </c>
      <c r="S14" s="63">
        <f>IF(S16,SUM(S16/B25),"")</f>
        <v>0.014945373096512364</v>
      </c>
      <c r="T14" s="64">
        <f>IF(T16,SUM(T16/M13),"")</f>
      </c>
    </row>
    <row r="15" spans="1:20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'[1]reliabilitySummary'!$B$19</f>
        <v>0</v>
      </c>
      <c r="L15" s="66">
        <f>'[1]reliabilitySummary'!$B$20</f>
        <v>0.0006000000000000001</v>
      </c>
      <c r="M15" s="66">
        <f>'[1]reliabilitySummary'!$B$24</f>
        <v>0.0006000000000000001</v>
      </c>
      <c r="N15" s="66">
        <f>'[1]reliabilitySummary'!$B$25</f>
        <v>0.0018000000000000002</v>
      </c>
      <c r="O15" s="66">
        <f>'[1]reliabilitySummary'!$B$26</f>
        <v>0.0006000000000000001</v>
      </c>
      <c r="P15" s="66">
        <f>'[1]reliabilitySummary'!$B$27</f>
        <v>0.0018000000000000002</v>
      </c>
      <c r="Q15" s="66">
        <f>'[1]reliabilitySummary'!$B$11</f>
        <v>0.0012000000000000001</v>
      </c>
      <c r="R15" s="66">
        <f>'[1]reliabilitySummary'!$B$28</f>
        <v>0.0006000000000000001</v>
      </c>
      <c r="S15" s="66">
        <v>0.03</v>
      </c>
      <c r="T15" s="67"/>
    </row>
    <row r="16" spans="1:20" s="65" customFormat="1" ht="12.75">
      <c r="A16" s="62" t="s">
        <v>62</v>
      </c>
      <c r="B16" s="169">
        <f>GETPIVOTDATA("Sum of System 
Length",$A$3,"Group","RF")</f>
        <v>2.550000000104774</v>
      </c>
      <c r="C16" s="167">
        <f>GETPIVOTDATA("Sum of System 
Length",$A$3,"Group","DIA")</f>
        <v>2.4666666666744277</v>
      </c>
      <c r="D16" s="168">
        <f>GETPIVOTDATA("Sum of System 
Length",$A$3,"Group","PS")</f>
        <v>13.533333333441988</v>
      </c>
      <c r="E16" s="168">
        <f>GETPIVOTDATA("Sum of System 
Length",$A$3,"Group","CTL")</f>
        <v>0.5166666666045785</v>
      </c>
      <c r="F16" s="167">
        <f>GETPIVOTDATA("Sum of System 
Length",$A$3,"Group","SI")</f>
        <v>3.950000000128057</v>
      </c>
      <c r="G16" s="171"/>
      <c r="H16" s="171"/>
      <c r="I16" s="167"/>
      <c r="J16" s="167">
        <f>GETPIVOTDATA("Sum of System 
Length",$A$3,"Group","AOP")</f>
        <v>0.18333333323244005</v>
      </c>
      <c r="K16" s="171"/>
      <c r="M16" s="171"/>
      <c r="N16" s="167">
        <f>GETPIVOTDATA("Sum of System 
Length",$A$3,"Group","ComEd")</f>
        <v>2.150000000023283</v>
      </c>
      <c r="O16" s="171"/>
      <c r="P16" s="171"/>
      <c r="Q16" s="171"/>
      <c r="R16" s="167">
        <f>GETPIVOTDATA("Sum of System 
Length",$A$3,"Group","UNK")</f>
        <v>0.11666666669771075</v>
      </c>
      <c r="S16" s="68">
        <f>'Main Data'!J54</f>
        <v>25.46666666690726</v>
      </c>
      <c r="T16" s="69"/>
    </row>
    <row r="17" spans="1:19" ht="12.75">
      <c r="A17" s="71" t="s">
        <v>63</v>
      </c>
      <c r="B17">
        <f>GETPIVOTDATA("Sum - Store Lost",$A$3,"Group","RF")</f>
        <v>3</v>
      </c>
      <c r="C17">
        <f>GETPIVOTDATA("Sum - Store Lost",$A$3,"Group","DIA")</f>
        <v>0</v>
      </c>
      <c r="D17">
        <f>GETPIVOTDATA("Sum - Store Lost",$A$3,"Group","PS")</f>
        <v>8</v>
      </c>
      <c r="E17">
        <f>GETPIVOTDATA("Sum - Store Lost",$A$3,"Group","ctl")</f>
        <v>1</v>
      </c>
      <c r="F17">
        <f>GETPIVOTDATA("Sum - Store Lost",$A$3,"Group","SI")</f>
        <v>1</v>
      </c>
      <c r="J17">
        <f>GETPIVOTDATA("Sum - Store Lost",$A$3,"Group","AOP")</f>
        <v>1</v>
      </c>
      <c r="N17">
        <f>GETPIVOTDATA("Sum - Store Lost",$A$3,"Group","ComEd")</f>
        <v>1</v>
      </c>
      <c r="R17">
        <f>GETPIVOTDATA("Sum - Store Lost",$A$3,"Group","UNK")</f>
        <v>1</v>
      </c>
      <c r="S17" s="68">
        <f>SUM(B17:R17)</f>
        <v>16</v>
      </c>
    </row>
    <row r="18" spans="1:19" ht="12.75">
      <c r="A18" s="71"/>
      <c r="B18" s="70"/>
      <c r="C18" s="70"/>
      <c r="D18" s="70"/>
      <c r="E18" s="70"/>
      <c r="G18" s="70"/>
      <c r="H18" s="70"/>
      <c r="I18" s="70"/>
      <c r="M18" s="70"/>
      <c r="O18" s="70"/>
      <c r="S18" s="68"/>
    </row>
    <row r="19" spans="1:19" ht="13.5" thickBot="1">
      <c r="A19" s="71"/>
      <c r="B19" s="171"/>
      <c r="C19" s="70"/>
      <c r="D19" s="70"/>
      <c r="E19" s="70"/>
      <c r="G19" s="70"/>
      <c r="H19" s="70"/>
      <c r="I19" s="70"/>
      <c r="M19" s="70"/>
      <c r="O19" s="70"/>
      <c r="S19" s="68"/>
    </row>
    <row r="20" spans="2:19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 t="s">
        <v>51</v>
      </c>
      <c r="L20" s="58" t="s">
        <v>52</v>
      </c>
      <c r="M20" s="58" t="s">
        <v>53</v>
      </c>
      <c r="N20" s="58" t="s">
        <v>54</v>
      </c>
      <c r="O20" s="58" t="s">
        <v>55</v>
      </c>
      <c r="P20" s="58" t="s">
        <v>56</v>
      </c>
      <c r="Q20" s="59" t="s">
        <v>57</v>
      </c>
      <c r="R20" s="60" t="s">
        <v>58</v>
      </c>
      <c r="S20" s="68"/>
    </row>
    <row r="21" spans="1:19" ht="12.75">
      <c r="A21" s="122" t="s">
        <v>96</v>
      </c>
      <c r="B21" s="72">
        <f aca="true" t="shared" si="0" ref="B21:H21">B17/($B24/24)</f>
        <v>0.042895016433163305</v>
      </c>
      <c r="C21" s="73">
        <f t="shared" si="0"/>
        <v>0</v>
      </c>
      <c r="D21" s="73">
        <f t="shared" si="0"/>
        <v>0.11438671048843548</v>
      </c>
      <c r="E21" s="73">
        <f t="shared" si="0"/>
        <v>0.014298338811054434</v>
      </c>
      <c r="F21" s="72">
        <f t="shared" si="0"/>
        <v>0.014298338811054434</v>
      </c>
      <c r="G21" s="72">
        <f t="shared" si="0"/>
        <v>0</v>
      </c>
      <c r="H21" s="72">
        <f t="shared" si="0"/>
        <v>0</v>
      </c>
      <c r="I21" s="72"/>
      <c r="J21" s="73">
        <f>J17/($B24/24)</f>
        <v>0.014298338811054434</v>
      </c>
      <c r="K21" s="73">
        <f>K17/($B24/24)</f>
        <v>0</v>
      </c>
      <c r="L21" s="72">
        <f>L17/($B24/24)</f>
        <v>0</v>
      </c>
      <c r="M21" s="73"/>
      <c r="N21" s="72">
        <f aca="true" t="shared" si="1" ref="N21:S21">N17/($B24/24)</f>
        <v>0.014298338811054434</v>
      </c>
      <c r="O21" s="72">
        <f t="shared" si="1"/>
        <v>0</v>
      </c>
      <c r="P21" s="73">
        <f>M17/($B24/24)</f>
        <v>0</v>
      </c>
      <c r="Q21" s="72">
        <f t="shared" si="1"/>
        <v>0</v>
      </c>
      <c r="R21" s="72">
        <f t="shared" si="1"/>
        <v>0.014298338811054434</v>
      </c>
      <c r="S21" s="72">
        <f t="shared" si="1"/>
        <v>0.22877342097687095</v>
      </c>
    </row>
    <row r="22" spans="1:20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6">
        <v>0</v>
      </c>
      <c r="L22" s="76">
        <v>0.01</v>
      </c>
      <c r="M22" s="76">
        <v>0.01</v>
      </c>
      <c r="N22" s="76">
        <v>0.01</v>
      </c>
      <c r="O22" s="76">
        <v>0.01</v>
      </c>
      <c r="P22" s="76">
        <v>0.02</v>
      </c>
      <c r="Q22" s="76">
        <v>0.01</v>
      </c>
      <c r="R22" s="76">
        <v>0.02</v>
      </c>
      <c r="S22" s="76">
        <f>SUM(B22:R22)</f>
        <v>0.5950000000000001</v>
      </c>
      <c r="T22" s="77"/>
    </row>
    <row r="24" spans="1:2" ht="12.75">
      <c r="A24" s="34" t="s">
        <v>31</v>
      </c>
      <c r="B24" s="65">
        <f>'Main Data'!D56</f>
        <v>1678.5166666665464</v>
      </c>
    </row>
    <row r="25" spans="1:2" ht="12.75">
      <c r="A25" s="78" t="s">
        <v>35</v>
      </c>
      <c r="B25" s="76">
        <f>'Main Data'!D58</f>
        <v>1703.9833333334536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3">
        <v>0</v>
      </c>
      <c r="E43" s="123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8">
      <selection activeCell="A28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2016-08-30T20:13:07Z</cp:lastPrinted>
  <dcterms:created xsi:type="dcterms:W3CDTF">1998-01-15T00:06:45Z</dcterms:created>
  <dcterms:modified xsi:type="dcterms:W3CDTF">2016-08-30T20:15:47Z</dcterms:modified>
  <cp:category/>
  <cp:version/>
  <cp:contentType/>
  <cp:contentStatus/>
  <cp:revision>5</cp:revision>
</cp:coreProperties>
</file>