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385" yWindow="65521" windowWidth="14430" windowHeight="13620" tabRatio="927" activeTab="0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8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Data'!$A$2:$P$4</definedName>
    <definedName name="Excel_BuiltIn_Print_Area_1_1">'Main Data'!$A$2:$P$46</definedName>
    <definedName name="Excel_BuiltIn_Print_Area_1_1_1">'Main Data'!$A$2:$P$68</definedName>
    <definedName name="Excel_BuiltIn_Print_Area_1_1_11">'Main Data'!$A$2:$P$69</definedName>
    <definedName name="Excel_BuiltIn_Print_Area_1_1_1_1">'Main Data'!$A$2:$P$54</definedName>
    <definedName name="Excel_BuiltIn_Print_Area_41">'Faults Per Day'!$A$1:$W$67</definedName>
    <definedName name="Faults_Day_of_Delivered_Beam">'Main Data'!$D$97</definedName>
    <definedName name="Mean_Time_Between_Faults">'Main Data'!$D$96</definedName>
    <definedName name="Number_of_Fills">'Main Data'!$D$89</definedName>
    <definedName name="Number_of_Intentional_Dumps">'Main Data'!$D$88</definedName>
    <definedName name="Number_of_Lost_Fills">'Main Data'!$D$87</definedName>
    <definedName name="_xlnm.Print_Area" localSheetId="3">'Faults Per Day'!$A$1:$AC$81</definedName>
    <definedName name="_xlnm.Print_Area" localSheetId="0">'Main Data'!$A$2:$P$55</definedName>
    <definedName name="_xlnm.Print_Titles" localSheetId="0">'Main Data'!$4:$4</definedName>
    <definedName name="Refill_Time">'Main Data'!$D$1</definedName>
    <definedName name="Total_Schedule_Run_Length">'Main Data'!$D$93</definedName>
    <definedName name="Total_System_Downtime">'Main Data'!$K$89</definedName>
    <definedName name="Total_User_Beam">'Main Data'!$D$91</definedName>
    <definedName name="Total_User_Downtime">'Main Data'!$D$92</definedName>
    <definedName name="User_Beam_Days">'Main Data'!$E$91</definedName>
    <definedName name="X_ray_Availability">'Main Data'!$D$98</definedName>
  </definedNames>
  <calcPr fullCalcOnLoad="1"/>
  <pivotCaches>
    <pivotCache cacheId="7" r:id="rId5"/>
  </pivotCaches>
</workbook>
</file>

<file path=xl/sharedStrings.xml><?xml version="1.0" encoding="utf-8"?>
<sst xmlns="http://schemas.openxmlformats.org/spreadsheetml/2006/main" count="216" uniqueCount="90">
  <si>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</si>
  <si>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</si>
  <si>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</si>
  <si>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</si>
  <si>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</si>
  <si>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</si>
  <si>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</si>
  <si>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</si>
  <si>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</si>
  <si>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</si>
  <si>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</si>
  <si>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</si>
  <si>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</si>
  <si>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</si>
  <si>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</si>
  <si>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</si>
  <si>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</si>
  <si>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</si>
  <si>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</si>
  <si>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</si>
  <si>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</si>
  <si>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</si>
  <si>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</si>
  <si>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</si>
  <si>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CTL</t>
  </si>
  <si>
    <t>MOM</t>
  </si>
  <si>
    <t>Number of Lost Fills</t>
  </si>
  <si>
    <t>Downtime</t>
  </si>
  <si>
    <t>Number of Intentional Dumps</t>
  </si>
  <si>
    <t>User</t>
  </si>
  <si>
    <t>Number of Fills</t>
  </si>
  <si>
    <t>SL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</si>
  <si>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</si>
  <si>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</si>
  <si>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</si>
  <si>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</si>
  <si>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</si>
  <si>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</si>
  <si>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</si>
  <si>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</si>
  <si>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</si>
  <si>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</si>
  <si>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</si>
  <si>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</si>
  <si>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</si>
  <si>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</si>
  <si>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</si>
  <si>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</si>
  <si>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</si>
  <si>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</si>
  <si>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</si>
  <si>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</si>
  <si>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</si>
  <si>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</si>
  <si>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</si>
  <si>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</si>
  <si>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</si>
  <si>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</si>
  <si>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</si>
  <si>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</si>
  <si>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</si>
  <si>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</si>
  <si>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</si>
  <si>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</si>
  <si>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</si>
  <si>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</si>
  <si>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SI</t>
  </si>
  <si>
    <t>Sum of System Length</t>
  </si>
  <si>
    <t>AOP</t>
  </si>
  <si>
    <t>Int Dump: End of Period</t>
  </si>
  <si>
    <t xml:space="preserve">Int Dump: End of Period </t>
  </si>
  <si>
    <t>Downtime for Run 2015-3</t>
  </si>
  <si>
    <t>Run 2015-3</t>
  </si>
  <si>
    <t>Inhibits Beam to User</t>
  </si>
  <si>
    <t>Power event [OTH]</t>
  </si>
  <si>
    <t>ComEd</t>
  </si>
  <si>
    <t>S26 Cab.3 Gespac [PS]</t>
  </si>
  <si>
    <t>12ID PSS trip [SI]</t>
  </si>
  <si>
    <t>RF1 HV trip [RF]</t>
  </si>
  <si>
    <t>RF2 HV trip[RF]</t>
  </si>
  <si>
    <t>Human error PS trip, conditioned, refilled [PS]</t>
  </si>
  <si>
    <t>S40B:V4 P.S. glitch[PS]</t>
  </si>
  <si>
    <t>2nd trip, investigation, swap-out supply P.S.</t>
  </si>
  <si>
    <t>S10B:V1 glitch [PS]</t>
  </si>
  <si>
    <t>S1B:S2 P.S. trip [PS]</t>
  </si>
  <si>
    <t>S10A:Q3 glitch [PS]</t>
  </si>
  <si>
    <t>Booted wrong IOCs causing timing issue [AOP]</t>
  </si>
  <si>
    <t>Absorber Ct. trip [CTL]</t>
  </si>
  <si>
    <t>Mtpl. P.S.&amp;RF trip[RF]</t>
  </si>
  <si>
    <t>Int.Dump for RF LOTO[RF]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</si>
</sst>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sz val="13.3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sz val="9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0" fontId="0" fillId="0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9" fontId="0" fillId="0" borderId="0" xfId="63" applyNumberFormat="1" applyFont="1" applyFill="1" applyBorder="1" applyAlignment="1" applyProtection="1">
      <alignment horizontal="right"/>
      <protection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0" fillId="33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0" xfId="0" applyNumberFormat="1" applyBorder="1" applyAlignment="1" applyProtection="1">
      <alignment/>
      <protection locked="0"/>
    </xf>
    <xf numFmtId="0" fontId="1" fillId="0" borderId="22" xfId="0" applyNumberFormat="1" applyFont="1" applyFill="1" applyBorder="1" applyAlignment="1">
      <alignment horizontal="center" textRotation="90"/>
    </xf>
    <xf numFmtId="164" fontId="1" fillId="0" borderId="22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 textRotation="90"/>
    </xf>
    <xf numFmtId="0" fontId="1" fillId="0" borderId="2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textRotation="90"/>
    </xf>
    <xf numFmtId="2" fontId="1" fillId="0" borderId="22" xfId="0" applyNumberFormat="1" applyFont="1" applyFill="1" applyBorder="1" applyAlignment="1">
      <alignment horizontal="center" textRotation="90" wrapText="1"/>
    </xf>
    <xf numFmtId="165" fontId="1" fillId="0" borderId="22" xfId="0" applyNumberFormat="1" applyFont="1" applyFill="1" applyBorder="1" applyAlignment="1">
      <alignment horizontal="center" textRotation="90" wrapText="1"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 locked="0"/>
    </xf>
    <xf numFmtId="0" fontId="0" fillId="34" borderId="25" xfId="0" applyNumberFormat="1" applyFont="1" applyFill="1" applyBorder="1" applyAlignment="1">
      <alignment horizontal="right"/>
    </xf>
    <xf numFmtId="164" fontId="0" fillId="34" borderId="30" xfId="0" applyNumberFormat="1" applyFont="1" applyFill="1" applyBorder="1" applyAlignment="1">
      <alignment horizontal="left"/>
    </xf>
    <xf numFmtId="2" fontId="0" fillId="35" borderId="25" xfId="0" applyNumberFormat="1" applyFont="1" applyFill="1" applyBorder="1" applyAlignment="1">
      <alignment horizontal="right"/>
    </xf>
    <xf numFmtId="164" fontId="0" fillId="34" borderId="25" xfId="0" applyNumberFormat="1" applyFont="1" applyFill="1" applyBorder="1" applyAlignment="1">
      <alignment/>
    </xf>
    <xf numFmtId="0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left"/>
    </xf>
    <xf numFmtId="0" fontId="0" fillId="34" borderId="25" xfId="0" applyNumberFormat="1" applyFont="1" applyFill="1" applyBorder="1" applyAlignment="1" applyProtection="1">
      <alignment/>
      <protection/>
    </xf>
    <xf numFmtId="0" fontId="0" fillId="34" borderId="25" xfId="0" applyNumberFormat="1" applyFont="1" applyFill="1" applyBorder="1" applyAlignment="1" applyProtection="1">
      <alignment/>
      <protection locked="0"/>
    </xf>
    <xf numFmtId="0" fontId="0" fillId="34" borderId="25" xfId="0" applyNumberFormat="1" applyFont="1" applyFill="1" applyBorder="1" applyAlignment="1" applyProtection="1">
      <alignment horizontal="left"/>
      <protection/>
    </xf>
    <xf numFmtId="0" fontId="0" fillId="0" borderId="31" xfId="0" applyNumberFormat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38" borderId="18" xfId="0" applyNumberFormat="1" applyFont="1" applyFill="1" applyBorder="1" applyAlignment="1">
      <alignment horizontal="right"/>
    </xf>
    <xf numFmtId="164" fontId="0" fillId="38" borderId="18" xfId="0" applyNumberFormat="1" applyFont="1" applyFill="1" applyBorder="1" applyAlignment="1">
      <alignment/>
    </xf>
    <xf numFmtId="0" fontId="0" fillId="38" borderId="18" xfId="0" applyNumberFormat="1" applyFont="1" applyFill="1" applyBorder="1" applyAlignment="1">
      <alignment horizontal="center"/>
    </xf>
    <xf numFmtId="164" fontId="0" fillId="38" borderId="18" xfId="0" applyNumberFormat="1" applyFont="1" applyFill="1" applyBorder="1" applyAlignment="1">
      <alignment horizontal="center"/>
    </xf>
    <xf numFmtId="0" fontId="0" fillId="38" borderId="18" xfId="0" applyNumberFormat="1" applyFont="1" applyFill="1" applyBorder="1" applyAlignment="1" applyProtection="1">
      <alignment/>
      <protection/>
    </xf>
    <xf numFmtId="0" fontId="0" fillId="38" borderId="18" xfId="0" applyNumberFormat="1" applyFont="1" applyFill="1" applyBorder="1" applyAlignment="1" applyProtection="1">
      <alignment/>
      <protection locked="0"/>
    </xf>
    <xf numFmtId="0" fontId="0" fillId="38" borderId="18" xfId="0" applyNumberFormat="1" applyFont="1" applyFill="1" applyBorder="1" applyAlignment="1" applyProtection="1">
      <alignment horizontal="left"/>
      <protection/>
    </xf>
    <xf numFmtId="0" fontId="0" fillId="39" borderId="18" xfId="0" applyNumberFormat="1" applyFont="1" applyFill="1" applyBorder="1" applyAlignment="1">
      <alignment horizontal="right"/>
    </xf>
    <xf numFmtId="164" fontId="0" fillId="39" borderId="18" xfId="0" applyNumberFormat="1" applyFont="1" applyFill="1" applyBorder="1" applyAlignment="1">
      <alignment/>
    </xf>
    <xf numFmtId="0" fontId="0" fillId="39" borderId="18" xfId="0" applyNumberFormat="1" applyFont="1" applyFill="1" applyBorder="1" applyAlignment="1">
      <alignment horizontal="center"/>
    </xf>
    <xf numFmtId="164" fontId="0" fillId="39" borderId="18" xfId="0" applyNumberFormat="1" applyFont="1" applyFill="1" applyBorder="1" applyAlignment="1">
      <alignment horizontal="center"/>
    </xf>
    <xf numFmtId="0" fontId="0" fillId="39" borderId="18" xfId="0" applyNumberFormat="1" applyFont="1" applyFill="1" applyBorder="1" applyAlignment="1" applyProtection="1">
      <alignment/>
      <protection/>
    </xf>
    <xf numFmtId="0" fontId="0" fillId="39" borderId="18" xfId="0" applyNumberFormat="1" applyFont="1" applyFill="1" applyBorder="1" applyAlignment="1" applyProtection="1">
      <alignment/>
      <protection locked="0"/>
    </xf>
    <xf numFmtId="0" fontId="0" fillId="39" borderId="18" xfId="0" applyNumberFormat="1" applyFont="1" applyFill="1" applyBorder="1" applyAlignment="1" applyProtection="1">
      <alignment horizontal="left"/>
      <protection/>
    </xf>
    <xf numFmtId="2" fontId="0" fillId="40" borderId="18" xfId="0" applyNumberFormat="1" applyFont="1" applyFill="1" applyBorder="1" applyAlignment="1">
      <alignment horizontal="right"/>
    </xf>
    <xf numFmtId="2" fontId="0" fillId="0" borderId="28" xfId="0" applyNumberFormat="1" applyBorder="1" applyAlignment="1">
      <alignment/>
    </xf>
    <xf numFmtId="2" fontId="1" fillId="0" borderId="0" xfId="0" applyNumberFormat="1" applyFont="1" applyAlignment="1" applyProtection="1">
      <alignment/>
      <protection locked="0"/>
    </xf>
    <xf numFmtId="2" fontId="0" fillId="41" borderId="18" xfId="0" applyNumberFormat="1" applyFont="1" applyFill="1" applyBorder="1" applyAlignment="1">
      <alignment horizontal="right"/>
    </xf>
    <xf numFmtId="164" fontId="0" fillId="39" borderId="18" xfId="0" applyNumberFormat="1" applyFont="1" applyFill="1" applyBorder="1" applyAlignment="1">
      <alignment horizontal="right"/>
    </xf>
    <xf numFmtId="164" fontId="0" fillId="38" borderId="18" xfId="0" applyNumberFormat="1" applyFont="1" applyFill="1" applyBorder="1" applyAlignment="1">
      <alignment horizontal="right"/>
    </xf>
    <xf numFmtId="2" fontId="1" fillId="34" borderId="25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/>
    </xf>
    <xf numFmtId="0" fontId="0" fillId="0" borderId="17" xfId="0" applyFont="1" applyBorder="1" applyAlignment="1">
      <alignment horizontal="left"/>
    </xf>
    <xf numFmtId="2" fontId="0" fillId="0" borderId="31" xfId="0" applyNumberFormat="1" applyBorder="1" applyAlignment="1">
      <alignment/>
    </xf>
    <xf numFmtId="2" fontId="0" fillId="42" borderId="18" xfId="0" applyNumberFormat="1" applyFont="1" applyFill="1" applyBorder="1" applyAlignment="1">
      <alignment horizontal="right"/>
    </xf>
    <xf numFmtId="0" fontId="0" fillId="43" borderId="18" xfId="0" applyNumberFormat="1" applyFont="1" applyFill="1" applyBorder="1" applyAlignment="1">
      <alignment horizontal="right"/>
    </xf>
    <xf numFmtId="164" fontId="0" fillId="43" borderId="18" xfId="0" applyNumberFormat="1" applyFont="1" applyFill="1" applyBorder="1" applyAlignment="1">
      <alignment horizontal="left"/>
    </xf>
    <xf numFmtId="2" fontId="0" fillId="44" borderId="18" xfId="0" applyNumberFormat="1" applyFont="1" applyFill="1" applyBorder="1" applyAlignment="1">
      <alignment horizontal="right"/>
    </xf>
    <xf numFmtId="164" fontId="0" fillId="43" borderId="18" xfId="0" applyNumberFormat="1" applyFont="1" applyFill="1" applyBorder="1" applyAlignment="1">
      <alignment/>
    </xf>
    <xf numFmtId="0" fontId="0" fillId="43" borderId="18" xfId="0" applyNumberFormat="1" applyFont="1" applyFill="1" applyBorder="1" applyAlignment="1">
      <alignment horizontal="center"/>
    </xf>
    <xf numFmtId="164" fontId="0" fillId="43" borderId="18" xfId="0" applyNumberFormat="1" applyFont="1" applyFill="1" applyBorder="1" applyAlignment="1">
      <alignment horizontal="center"/>
    </xf>
    <xf numFmtId="0" fontId="0" fillId="43" borderId="18" xfId="0" applyNumberFormat="1" applyFont="1" applyFill="1" applyBorder="1" applyAlignment="1" applyProtection="1">
      <alignment/>
      <protection/>
    </xf>
    <xf numFmtId="0" fontId="0" fillId="43" borderId="18" xfId="0" applyNumberFormat="1" applyFont="1" applyFill="1" applyBorder="1" applyAlignment="1" applyProtection="1">
      <alignment/>
      <protection locked="0"/>
    </xf>
    <xf numFmtId="0" fontId="0" fillId="43" borderId="18" xfId="0" applyNumberFormat="1" applyFont="1" applyFill="1" applyBorder="1" applyAlignment="1" applyProtection="1">
      <alignment horizontal="left"/>
      <protection/>
    </xf>
    <xf numFmtId="164" fontId="0" fillId="38" borderId="18" xfId="0" applyNumberFormat="1" applyFont="1" applyFill="1" applyBorder="1" applyAlignment="1">
      <alignment horizontal="left"/>
    </xf>
    <xf numFmtId="2" fontId="0" fillId="45" borderId="1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numFmt numFmtId="2" formatCode="0.00"/>
      <border/>
    </dxf>
    <dxf>
      <font>
        <b val="0"/>
        <i val="0"/>
        <u val="none"/>
        <strike val="0"/>
        <sz val="10"/>
        <name val="Arial"/>
        <color auto="1"/>
      </font>
      <alignment horizontal="left" vertical="bottom" textRotation="0" wrapText="1" indent="0" shrinkToFit="1" readingOrder="0"/>
      <border/>
    </dxf>
    <dxf>
      <font>
        <b val="0"/>
        <i val="0"/>
        <u val="none"/>
        <strike val="0"/>
        <sz val="10"/>
        <name val="Arial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2014-3 Downtime by System 
October 6 - December 21, 2015
 Scheduled User Time =  1553 hours     
User downtime= 19.88  hours</a:t>
            </a:r>
          </a:p>
        </c:rich>
      </c:tx>
      <c:layout>
        <c:manualLayout>
          <c:xMode val="factor"/>
          <c:yMode val="factor"/>
          <c:x val="-0.000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"/>
          <c:w val="0.863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Stats!$A$15</c:f>
              <c:strCache>
                <c:ptCount val="1"/>
                <c:pt idx="0">
                  <c:v>Run 2015-3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Stats!$B$13:$Q$13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Stats!$B$15:$Q$15</c:f>
              <c:numCache>
                <c:ptCount val="16"/>
                <c:pt idx="0">
                  <c:v>0.004217643271118359</c:v>
                </c:pt>
                <c:pt idx="1">
                  <c:v>0</c:v>
                </c:pt>
                <c:pt idx="2">
                  <c:v>0.0050440008584660715</c:v>
                </c:pt>
                <c:pt idx="3">
                  <c:v>0.0005580596694769757</c:v>
                </c:pt>
                <c:pt idx="4">
                  <c:v>0.0011483150891074352</c:v>
                </c:pt>
                <c:pt idx="5">
                  <c:v>0</c:v>
                </c:pt>
                <c:pt idx="6">
                  <c:v>0</c:v>
                </c:pt>
                <c:pt idx="7">
                  <c:v>0.0007834299205513623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0.0010517278385345414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Stats!$B$13:$Q$13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Stats!$B$16:$Q$16</c:f>
              <c:numCache>
                <c:ptCount val="16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0.0036000000000000003</c:v>
                </c:pt>
                <c:pt idx="7">
                  <c:v>0.0012000000000000001</c:v>
                </c:pt>
                <c:pt idx="8">
                  <c:v>0</c:v>
                </c:pt>
                <c:pt idx="9">
                  <c:v>0.0006000000000000001</c:v>
                </c:pt>
                <c:pt idx="10">
                  <c:v>0.0006000000000000001</c:v>
                </c:pt>
                <c:pt idx="11">
                  <c:v>0.0006000000000000001</c:v>
                </c:pt>
                <c:pt idx="12">
                  <c:v>0.0006000000000000001</c:v>
                </c:pt>
                <c:pt idx="13">
                  <c:v>0.0018000000000000002</c:v>
                </c:pt>
                <c:pt idx="14">
                  <c:v>0.0012000000000000001</c:v>
                </c:pt>
                <c:pt idx="15">
                  <c:v>0.0006000000000000001</c:v>
                </c:pt>
              </c:numCache>
            </c:numRef>
          </c:val>
        </c:ser>
        <c:axId val="65432237"/>
        <c:axId val="52019222"/>
      </c:barChart>
      <c:catAx>
        <c:axId val="6543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9222"/>
        <c:crosses val="autoZero"/>
        <c:auto val="1"/>
        <c:lblOffset val="100"/>
        <c:tickLblSkip val="1"/>
        <c:noMultiLvlLbl val="0"/>
      </c:catAx>
      <c:valAx>
        <c:axId val="52019222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32237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"/>
          <c:y val="0.5087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2015-3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675"/>
          <c:w val="0.938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Stats!$A$22</c:f>
              <c:strCache>
                <c:ptCount val="1"/>
                <c:pt idx="0">
                  <c:v>Run 2015-3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Stats!$B$22:$Q$22</c:f>
              <c:numCache>
                <c:ptCount val="16"/>
                <c:pt idx="0">
                  <c:v>0.06261754378335704</c:v>
                </c:pt>
                <c:pt idx="1">
                  <c:v>0</c:v>
                </c:pt>
                <c:pt idx="2">
                  <c:v>0.07827192972919632</c:v>
                </c:pt>
                <c:pt idx="3">
                  <c:v>0.01565438594583926</c:v>
                </c:pt>
                <c:pt idx="4">
                  <c:v>0.03130877189167852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0.01565438594583926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Stats!$B$23:$Q$23</c:f>
              <c:numCache>
                <c:ptCount val="16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0.02</c:v>
                </c:pt>
                <c:pt idx="6">
                  <c:v>0.06</c:v>
                </c:pt>
                <c:pt idx="7">
                  <c:v>0.02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0.01</c:v>
                </c:pt>
                <c:pt idx="15">
                  <c:v>0.02</c:v>
                </c:pt>
              </c:numCache>
            </c:numRef>
          </c:val>
        </c:ser>
        <c:axId val="65519815"/>
        <c:axId val="52807424"/>
      </c:barChart>
      <c:catAx>
        <c:axId val="65519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07424"/>
        <c:crossesAt val="0"/>
        <c:auto val="1"/>
        <c:lblOffset val="100"/>
        <c:tickLblSkip val="1"/>
        <c:noMultiLvlLbl val="0"/>
      </c:catAx>
      <c:valAx>
        <c:axId val="52807424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19815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55"/>
          <c:y val="0.97725"/>
          <c:w val="0.11325"/>
          <c:h val="0.01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87</xdr:row>
      <xdr:rowOff>76200</xdr:rowOff>
    </xdr:from>
    <xdr:to>
      <xdr:col>11</xdr:col>
      <xdr:colOff>85725</xdr:colOff>
      <xdr:row>88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896350" y="15716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44</xdr:row>
      <xdr:rowOff>76200</xdr:rowOff>
    </xdr:from>
    <xdr:to>
      <xdr:col>11</xdr:col>
      <xdr:colOff>47625</xdr:colOff>
      <xdr:row>45</xdr:row>
      <xdr:rowOff>95250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8572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28</xdr:col>
      <xdr:colOff>276225</xdr:colOff>
      <xdr:row>78</xdr:row>
      <xdr:rowOff>104775</xdr:rowOff>
    </xdr:to>
    <xdr:graphicFrame>
      <xdr:nvGraphicFramePr>
        <xdr:cNvPr id="1" name="Chart 1"/>
        <xdr:cNvGraphicFramePr/>
      </xdr:nvGraphicFramePr>
      <xdr:xfrm>
        <a:off x="0" y="542925"/>
        <a:ext cx="17345025" cy="1219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ICS\Public\2010\2010Fy\reliability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43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17">
        <s v="ComEd"/>
        <s v="PS"/>
        <m/>
        <s v="SI"/>
        <s v="RF"/>
        <s v="AOP"/>
        <s v="CTL"/>
        <s v="FMS"/>
        <s v="FMS-H2O"/>
        <s v="OTH"/>
        <s v="OPS"/>
        <s v="ESH"/>
        <s v="Rad"/>
        <s v="DIA"/>
        <s v="UNK"/>
        <s v="Weather"/>
        <s v="MOM"/>
      </sharedItems>
    </cacheField>
    <cacheField name="System">
      <sharedItems containsMixedTypes="0"/>
    </cacheField>
    <cacheField name="Group">
      <sharedItems containsBlank="1" containsMixedTypes="0" count="9">
        <s v="ComEd"/>
        <s v="PS"/>
        <m/>
        <s v="SI"/>
        <s v="RF"/>
        <s v="AOP"/>
        <s v="CTL"/>
        <s v="FMS"/>
        <s v="DIA"/>
      </sharedItems>
    </cacheField>
    <cacheField name="Type">
      <sharedItems containsBlank="1" containsMixedTypes="0" count="4">
        <s v="Store Lost"/>
        <s v="Scheduled"/>
        <m/>
        <s v="Inhibits Beam to User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H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0">
        <item h="1" x="2"/>
        <item x="1"/>
        <item x="4"/>
        <item x="5"/>
        <item x="6"/>
        <item x="3"/>
        <item m="1" x="7"/>
        <item m="1" x="8"/>
        <item x="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7">
    <i>
      <x v="1"/>
    </i>
    <i>
      <x v="2"/>
    </i>
    <i>
      <x v="3"/>
    </i>
    <i>
      <x v="4"/>
    </i>
    <i>
      <x v="5"/>
    </i>
    <i>
      <x v="8"/>
    </i>
    <i t="grand">
      <x/>
    </i>
  </colItems>
  <dataFields count="3">
    <dataField name="Sum - Inhibits Beam" fld="18" baseField="0" baseItem="0"/>
    <dataField name="Sum - Store Lost" fld="16" baseField="0" baseItem="0"/>
    <dataField name="Sum of System Length" fld="10" baseField="0" baseItem="0"/>
  </dataFields>
  <formats count="5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  <format dxfId="1">
      <pivotArea outline="0" fieldPosition="0" dataOnly="0" labelOnly="1" type="origin"/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I44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17">
        <item h="1" x="2"/>
        <item m="1" x="8"/>
        <item x="1"/>
        <item x="4"/>
        <item m="1" x="11"/>
        <item x="3"/>
        <item m="1" x="13"/>
        <item x="6"/>
        <item m="1" x="16"/>
        <item m="1" x="7"/>
        <item m="1" x="14"/>
        <item m="1" x="10"/>
        <item x="0"/>
        <item m="1" x="15"/>
        <item m="1" x="9"/>
        <item m="1" x="12"/>
        <item x="5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1"/>
        <item x="2"/>
        <item x="0"/>
        <item x="3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7">
    <i>
      <x v="2"/>
    </i>
    <i>
      <x v="3"/>
    </i>
    <i>
      <x v="5"/>
    </i>
    <i>
      <x v="7"/>
    </i>
    <i>
      <x v="12"/>
    </i>
    <i>
      <x v="16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5"/>
  <sheetViews>
    <sheetView tabSelected="1" zoomScale="75" zoomScaleNormal="75" workbookViewId="0" topLeftCell="A16">
      <selection activeCell="F39" sqref="F39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851562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75" t="s">
        <v>71</v>
      </c>
      <c r="B2" s="175"/>
      <c r="C2" s="175"/>
      <c r="D2" s="175"/>
      <c r="E2" s="175"/>
      <c r="F2" s="175"/>
      <c r="G2" s="175"/>
      <c r="H2" s="175"/>
      <c r="I2" s="175"/>
      <c r="J2" s="25"/>
      <c r="K2" s="25"/>
      <c r="L2" s="26"/>
      <c r="M2" s="27"/>
      <c r="N2" s="27"/>
      <c r="O2" s="26"/>
      <c r="P2" s="23"/>
    </row>
    <row r="3" spans="1:20" s="30" customFormat="1" ht="20.25" customHeight="1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66.75" customHeight="1">
      <c r="A4" s="115" t="s">
        <v>3</v>
      </c>
      <c r="B4" s="116" t="s">
        <v>4</v>
      </c>
      <c r="C4" s="116" t="s">
        <v>5</v>
      </c>
      <c r="D4" s="117" t="s">
        <v>6</v>
      </c>
      <c r="E4" s="118" t="s">
        <v>7</v>
      </c>
      <c r="F4" s="115" t="s">
        <v>8</v>
      </c>
      <c r="G4" s="119" t="s">
        <v>9</v>
      </c>
      <c r="H4" s="116" t="s">
        <v>4</v>
      </c>
      <c r="I4" s="116" t="s">
        <v>5</v>
      </c>
      <c r="J4" s="120" t="s">
        <v>10</v>
      </c>
      <c r="K4" s="121" t="s">
        <v>11</v>
      </c>
      <c r="L4" s="122" t="s">
        <v>12</v>
      </c>
      <c r="M4" s="123" t="s">
        <v>13</v>
      </c>
      <c r="N4" s="123" t="s">
        <v>14</v>
      </c>
      <c r="O4" s="122" t="s">
        <v>15</v>
      </c>
      <c r="P4" s="31" t="s">
        <v>16</v>
      </c>
      <c r="Q4" s="32" t="s">
        <v>17</v>
      </c>
      <c r="R4" s="32" t="s">
        <v>18</v>
      </c>
      <c r="S4" s="32" t="s">
        <v>19</v>
      </c>
      <c r="T4" s="33" t="s">
        <v>20</v>
      </c>
    </row>
    <row r="5" spans="1:23" s="34" customFormat="1" ht="12.75">
      <c r="A5" s="146">
        <v>1</v>
      </c>
      <c r="B5" s="157">
        <v>42283.333333333336</v>
      </c>
      <c r="C5" s="157">
        <v>42285.288194444445</v>
      </c>
      <c r="D5" s="156">
        <f>(C5-B5)*24</f>
        <v>46.91666666662786</v>
      </c>
      <c r="E5" s="147" t="s">
        <v>74</v>
      </c>
      <c r="F5" s="148">
        <v>106366</v>
      </c>
      <c r="G5" s="149"/>
      <c r="H5" s="157">
        <v>42285.288194444445</v>
      </c>
      <c r="I5" s="157">
        <v>42285.35625</v>
      </c>
      <c r="J5" s="156">
        <f>(I5-H5)*24</f>
        <v>1.6333333332440816</v>
      </c>
      <c r="K5" s="156">
        <f>(I5-H5)*24</f>
        <v>1.6333333332440816</v>
      </c>
      <c r="L5" s="150" t="s">
        <v>75</v>
      </c>
      <c r="M5" s="151" t="s">
        <v>75</v>
      </c>
      <c r="N5" s="151" t="s">
        <v>75</v>
      </c>
      <c r="O5" s="152" t="s">
        <v>17</v>
      </c>
      <c r="P5" s="147"/>
      <c r="Q5" s="35">
        <f>IF($O5="Store Lost",1,"")</f>
        <v>1</v>
      </c>
      <c r="R5" s="35"/>
      <c r="S5" s="35"/>
      <c r="T5" s="36"/>
      <c r="U5" s="30"/>
      <c r="V5" s="30"/>
      <c r="W5" s="30"/>
    </row>
    <row r="6" spans="1:23" s="34" customFormat="1" ht="12.75">
      <c r="A6" s="139">
        <v>2</v>
      </c>
      <c r="B6" s="158">
        <v>42285.35625</v>
      </c>
      <c r="C6" s="158">
        <v>42285.70972222222</v>
      </c>
      <c r="D6" s="153">
        <f>(C6-B6)*24</f>
        <v>8.483333333395422</v>
      </c>
      <c r="E6" s="140" t="s">
        <v>76</v>
      </c>
      <c r="F6" s="141">
        <v>106367</v>
      </c>
      <c r="G6" s="142"/>
      <c r="H6" s="158">
        <v>42285.70972222222</v>
      </c>
      <c r="I6" s="158">
        <v>42285.7625</v>
      </c>
      <c r="J6" s="153">
        <f>(I6-H6)*24</f>
        <v>1.2666666666045785</v>
      </c>
      <c r="K6" s="153">
        <f>(I6-H6)*24</f>
        <v>1.2666666666045785</v>
      </c>
      <c r="L6" s="143" t="s">
        <v>22</v>
      </c>
      <c r="M6" s="144" t="s">
        <v>22</v>
      </c>
      <c r="N6" s="144" t="s">
        <v>22</v>
      </c>
      <c r="O6" s="145" t="s">
        <v>17</v>
      </c>
      <c r="P6" s="140"/>
      <c r="Q6" s="35">
        <f>IF($O6="Store Lost",1,"")</f>
        <v>1</v>
      </c>
      <c r="R6" s="35">
        <f>IF($O6="Scheduled",1,"")</f>
      </c>
      <c r="S6" s="35">
        <f>IF($O6="Inhibits beam to user",1,"")</f>
      </c>
      <c r="T6" s="36">
        <f>SUM(Q6:S6)</f>
        <v>1</v>
      </c>
      <c r="U6" s="30"/>
      <c r="V6" s="30"/>
      <c r="W6" s="30"/>
    </row>
    <row r="7" spans="1:23" s="136" customFormat="1" ht="12.75">
      <c r="A7" s="146">
        <v>3</v>
      </c>
      <c r="B7" s="147">
        <v>42285.7625</v>
      </c>
      <c r="C7" s="147">
        <v>42290.333333333336</v>
      </c>
      <c r="D7" s="156">
        <f>(C7-B7)*24</f>
        <v>109.70000000012806</v>
      </c>
      <c r="E7" s="147" t="s">
        <v>70</v>
      </c>
      <c r="F7" s="148"/>
      <c r="G7" s="149"/>
      <c r="H7" s="147"/>
      <c r="I7" s="147"/>
      <c r="J7" s="156">
        <f>(I7-H7)*24</f>
        <v>0</v>
      </c>
      <c r="K7" s="156">
        <f>(I7-H7)*24</f>
        <v>0</v>
      </c>
      <c r="L7" s="150"/>
      <c r="M7" s="151"/>
      <c r="N7" s="151"/>
      <c r="O7" s="152" t="s">
        <v>21</v>
      </c>
      <c r="P7" s="147"/>
      <c r="Q7" s="35">
        <f>IF($O7="Store Lost",1,"")</f>
      </c>
      <c r="R7" s="35">
        <f>IF($O7="Scheduled",1,"")</f>
        <v>1</v>
      </c>
      <c r="S7" s="35">
        <f>IF($O7="Inhibits beam to user",1,"")</f>
      </c>
      <c r="T7" s="36">
        <f>SUM(Q7:S7)</f>
        <v>1</v>
      </c>
      <c r="U7" s="135"/>
      <c r="V7" s="135"/>
      <c r="W7" s="135"/>
    </row>
    <row r="8" spans="1:23" s="34" customFormat="1" ht="12.75">
      <c r="A8" s="124"/>
      <c r="B8" s="125"/>
      <c r="C8" s="125"/>
      <c r="D8" s="126">
        <f>SUM(D5:D7)</f>
        <v>165.10000000015134</v>
      </c>
      <c r="E8" s="127"/>
      <c r="F8" s="128"/>
      <c r="G8" s="129"/>
      <c r="H8" s="130"/>
      <c r="I8" s="130"/>
      <c r="J8" s="159">
        <f>SUM(J5:J7)</f>
        <v>2.89999999984866</v>
      </c>
      <c r="K8" s="159">
        <f>SUM(K5:K7)</f>
        <v>2.89999999984866</v>
      </c>
      <c r="L8" s="131"/>
      <c r="M8" s="132"/>
      <c r="N8" s="132"/>
      <c r="O8" s="133"/>
      <c r="P8" s="127"/>
      <c r="Q8" s="35">
        <f>IF($O8="Store Lost",1,"")</f>
      </c>
      <c r="R8" s="35">
        <f>IF($O8="Scheduled",1,"")</f>
      </c>
      <c r="S8" s="35">
        <f>IF($O8="Inhibits beam to user",1,"")</f>
      </c>
      <c r="T8" s="36">
        <f>SUM(Q8:S8)</f>
        <v>0</v>
      </c>
      <c r="U8" s="30"/>
      <c r="V8" s="30"/>
      <c r="W8" s="30"/>
    </row>
    <row r="9" spans="1:23" s="138" customFormat="1" ht="12.75">
      <c r="A9" s="146">
        <v>4</v>
      </c>
      <c r="B9" s="147">
        <v>42291.333333333336</v>
      </c>
      <c r="C9" s="147">
        <v>42292.9875</v>
      </c>
      <c r="D9" s="94">
        <f>(C9-B9)*24</f>
        <v>39.70000000001164</v>
      </c>
      <c r="E9" s="147" t="s">
        <v>77</v>
      </c>
      <c r="F9" s="148">
        <v>106369</v>
      </c>
      <c r="G9" s="149"/>
      <c r="H9" s="147">
        <v>42292.9875</v>
      </c>
      <c r="I9" s="147">
        <v>42293.029861111114</v>
      </c>
      <c r="J9" s="94">
        <f>(I9-H9)*24</f>
        <v>1.0166666666627862</v>
      </c>
      <c r="K9" s="94">
        <f>(I9-H9)*24</f>
        <v>1.0166666666627862</v>
      </c>
      <c r="L9" s="150" t="s">
        <v>66</v>
      </c>
      <c r="M9" s="151" t="s">
        <v>66</v>
      </c>
      <c r="N9" s="151" t="s">
        <v>66</v>
      </c>
      <c r="O9" s="152" t="s">
        <v>17</v>
      </c>
      <c r="P9" s="147"/>
      <c r="Q9" s="35">
        <f aca="true" t="shared" si="0" ref="Q9:Q23">IF($O9="Store Lost",1,"")</f>
        <v>1</v>
      </c>
      <c r="R9" s="35">
        <f aca="true" t="shared" si="1" ref="R9:R23">IF($O9="Scheduled",1,"")</f>
      </c>
      <c r="S9" s="35">
        <f aca="true" t="shared" si="2" ref="S9:S23">IF($O9="Inhibits beam to user",1,"")</f>
      </c>
      <c r="T9" s="36">
        <f aca="true" t="shared" si="3" ref="T9:T16">SUM(Q9:S9)</f>
        <v>1</v>
      </c>
      <c r="U9" s="137"/>
      <c r="V9" s="137"/>
      <c r="W9" s="137"/>
    </row>
    <row r="10" spans="1:23" s="136" customFormat="1" ht="15.75" customHeight="1">
      <c r="A10" s="139">
        <v>5</v>
      </c>
      <c r="B10" s="140">
        <v>42293.029861111114</v>
      </c>
      <c r="C10" s="140">
        <v>42297.333333333336</v>
      </c>
      <c r="D10" s="153">
        <f>(C10-B10)*24</f>
        <v>103.28333333332557</v>
      </c>
      <c r="E10" s="140" t="s">
        <v>69</v>
      </c>
      <c r="F10" s="141"/>
      <c r="G10" s="142"/>
      <c r="H10" s="140"/>
      <c r="I10" s="140"/>
      <c r="J10" s="153">
        <f>(I10-H10)*24</f>
        <v>0</v>
      </c>
      <c r="K10" s="153">
        <f>(I10-H10)*24</f>
        <v>0</v>
      </c>
      <c r="L10" s="143"/>
      <c r="M10" s="144"/>
      <c r="N10" s="144"/>
      <c r="O10" s="145" t="s">
        <v>21</v>
      </c>
      <c r="P10" s="140"/>
      <c r="Q10" s="35">
        <f t="shared" si="0"/>
      </c>
      <c r="R10" s="35">
        <f t="shared" si="1"/>
        <v>1</v>
      </c>
      <c r="S10" s="35">
        <f t="shared" si="2"/>
      </c>
      <c r="T10" s="36">
        <f t="shared" si="3"/>
        <v>1</v>
      </c>
      <c r="U10" s="135"/>
      <c r="V10" s="135"/>
      <c r="W10" s="135"/>
    </row>
    <row r="11" spans="1:23" s="34" customFormat="1" ht="12.75">
      <c r="A11" s="124"/>
      <c r="B11" s="125"/>
      <c r="C11" s="125"/>
      <c r="D11" s="126">
        <f>SUM(D9:D10)</f>
        <v>142.9833333333372</v>
      </c>
      <c r="E11" s="127"/>
      <c r="F11" s="128"/>
      <c r="G11" s="129"/>
      <c r="H11" s="130"/>
      <c r="I11" s="130"/>
      <c r="J11" s="159">
        <f>SUM(J9:J10)</f>
        <v>1.0166666666627862</v>
      </c>
      <c r="K11" s="159">
        <f>SUM(K9:K10)</f>
        <v>1.0166666666627862</v>
      </c>
      <c r="L11" s="131"/>
      <c r="M11" s="132"/>
      <c r="N11" s="132"/>
      <c r="O11" s="133"/>
      <c r="P11" s="127"/>
      <c r="Q11" s="35">
        <f t="shared" si="0"/>
      </c>
      <c r="R11" s="35">
        <f t="shared" si="1"/>
      </c>
      <c r="S11" s="35">
        <f t="shared" si="2"/>
      </c>
      <c r="T11" s="36">
        <f t="shared" si="3"/>
        <v>0</v>
      </c>
      <c r="U11" s="30"/>
      <c r="V11" s="30"/>
      <c r="W11" s="30"/>
    </row>
    <row r="12" spans="1:23" s="34" customFormat="1" ht="12.75">
      <c r="A12" s="164"/>
      <c r="B12" s="165"/>
      <c r="C12" s="165"/>
      <c r="D12" s="166"/>
      <c r="E12" s="167"/>
      <c r="F12" s="168">
        <v>106372</v>
      </c>
      <c r="G12" s="169"/>
      <c r="H12" s="165">
        <v>42298.333333333336</v>
      </c>
      <c r="I12" s="165">
        <v>42298.376388888886</v>
      </c>
      <c r="J12" s="94">
        <f>(I12-H12)*24</f>
        <v>1.033333333209157</v>
      </c>
      <c r="K12" s="163">
        <f>(I12-H12)*24</f>
        <v>1.033333333209157</v>
      </c>
      <c r="L12" s="170" t="s">
        <v>22</v>
      </c>
      <c r="M12" s="171" t="s">
        <v>22</v>
      </c>
      <c r="N12" s="171" t="s">
        <v>22</v>
      </c>
      <c r="O12" s="172" t="s">
        <v>73</v>
      </c>
      <c r="P12" s="167" t="s">
        <v>80</v>
      </c>
      <c r="Q12" s="35">
        <f t="shared" si="0"/>
      </c>
      <c r="R12" s="35">
        <f t="shared" si="1"/>
      </c>
      <c r="S12" s="35">
        <f t="shared" si="2"/>
        <v>1</v>
      </c>
      <c r="T12" s="36">
        <f>SUM(Q12:S12)</f>
        <v>1</v>
      </c>
      <c r="U12" s="30"/>
      <c r="V12" s="30"/>
      <c r="W12" s="30"/>
    </row>
    <row r="13" spans="1:23" s="136" customFormat="1" ht="15.75" customHeight="1">
      <c r="A13" s="139">
        <v>7</v>
      </c>
      <c r="B13" s="140">
        <v>42298.376388888886</v>
      </c>
      <c r="C13" s="140">
        <v>42299.45694444444</v>
      </c>
      <c r="D13" s="153">
        <f>(C13-B13)*24</f>
        <v>25.933333333348855</v>
      </c>
      <c r="E13" s="140" t="s">
        <v>78</v>
      </c>
      <c r="F13" s="141">
        <v>106373</v>
      </c>
      <c r="G13" s="142"/>
      <c r="H13" s="160">
        <v>42299.45694444444</v>
      </c>
      <c r="I13" s="160">
        <v>42299.47986111111</v>
      </c>
      <c r="J13" s="153">
        <f>(I13-H13)*24</f>
        <v>0.5500000000465661</v>
      </c>
      <c r="K13" s="153">
        <f>(I13-H13)*24</f>
        <v>0.5500000000465661</v>
      </c>
      <c r="L13" s="143" t="s">
        <v>23</v>
      </c>
      <c r="M13" s="144" t="s">
        <v>23</v>
      </c>
      <c r="N13" s="144" t="s">
        <v>23</v>
      </c>
      <c r="O13" s="145" t="s">
        <v>17</v>
      </c>
      <c r="P13" s="140"/>
      <c r="Q13" s="35">
        <f t="shared" si="0"/>
        <v>1</v>
      </c>
      <c r="R13" s="35">
        <f t="shared" si="1"/>
      </c>
      <c r="S13" s="35">
        <f t="shared" si="2"/>
      </c>
      <c r="T13" s="36">
        <f t="shared" si="3"/>
        <v>1</v>
      </c>
      <c r="U13" s="135"/>
      <c r="V13" s="135"/>
      <c r="W13" s="135"/>
    </row>
    <row r="14" spans="1:23" s="138" customFormat="1" ht="12.75">
      <c r="A14" s="146">
        <v>8</v>
      </c>
      <c r="B14" s="147">
        <v>42299.47986111111</v>
      </c>
      <c r="C14" s="147">
        <v>42299.99930555555</v>
      </c>
      <c r="D14" s="94">
        <f>(C14-B14)*24</f>
        <v>12.46666666661622</v>
      </c>
      <c r="E14" s="147" t="s">
        <v>79</v>
      </c>
      <c r="F14" s="148">
        <v>106374</v>
      </c>
      <c r="G14" s="149"/>
      <c r="H14" s="147">
        <v>42299.99930555555</v>
      </c>
      <c r="I14" s="147">
        <v>42300.024305555555</v>
      </c>
      <c r="J14" s="94">
        <f>(I14-H14)*24</f>
        <v>0.6000000000349246</v>
      </c>
      <c r="K14" s="156">
        <f>(I14-H14)*24</f>
        <v>0.6000000000349246</v>
      </c>
      <c r="L14" s="150" t="s">
        <v>23</v>
      </c>
      <c r="M14" s="151" t="s">
        <v>23</v>
      </c>
      <c r="N14" s="151" t="s">
        <v>23</v>
      </c>
      <c r="O14" s="152" t="s">
        <v>17</v>
      </c>
      <c r="P14" s="147"/>
      <c r="Q14" s="35">
        <f t="shared" si="0"/>
        <v>1</v>
      </c>
      <c r="R14" s="35">
        <f t="shared" si="1"/>
      </c>
      <c r="S14" s="35">
        <f t="shared" si="2"/>
      </c>
      <c r="T14" s="36">
        <f t="shared" si="3"/>
        <v>1</v>
      </c>
      <c r="U14" s="137"/>
      <c r="V14" s="137"/>
      <c r="W14" s="137"/>
    </row>
    <row r="15" spans="1:23" s="136" customFormat="1" ht="15.75" customHeight="1">
      <c r="A15" s="139">
        <v>9</v>
      </c>
      <c r="B15" s="140">
        <v>42300.024305555555</v>
      </c>
      <c r="C15" s="140">
        <v>42304.333333333336</v>
      </c>
      <c r="D15" s="153">
        <f>(C15-B15)*24</f>
        <v>103.41666666674428</v>
      </c>
      <c r="E15" s="140" t="s">
        <v>69</v>
      </c>
      <c r="F15" s="141"/>
      <c r="G15" s="142"/>
      <c r="H15" s="140"/>
      <c r="I15" s="140"/>
      <c r="J15" s="153">
        <f>(I15-H15)*24</f>
        <v>0</v>
      </c>
      <c r="K15" s="153">
        <f>(I15-H15)*24</f>
        <v>0</v>
      </c>
      <c r="L15" s="143"/>
      <c r="M15" s="144"/>
      <c r="N15" s="144"/>
      <c r="O15" s="145" t="s">
        <v>21</v>
      </c>
      <c r="P15" s="140"/>
      <c r="Q15" s="35">
        <f t="shared" si="0"/>
      </c>
      <c r="R15" s="35">
        <f t="shared" si="1"/>
        <v>1</v>
      </c>
      <c r="S15" s="35">
        <f t="shared" si="2"/>
      </c>
      <c r="T15" s="36">
        <f t="shared" si="3"/>
        <v>1</v>
      </c>
      <c r="U15" s="135"/>
      <c r="V15" s="135"/>
      <c r="W15" s="135"/>
    </row>
    <row r="16" spans="1:23" s="34" customFormat="1" ht="12.75">
      <c r="A16" s="124"/>
      <c r="B16" s="125"/>
      <c r="C16" s="125"/>
      <c r="D16" s="126">
        <f>SUM(D12:D15)</f>
        <v>141.81666666670935</v>
      </c>
      <c r="E16" s="127"/>
      <c r="F16" s="128"/>
      <c r="G16" s="129"/>
      <c r="H16" s="130"/>
      <c r="I16" s="130"/>
      <c r="J16" s="159">
        <f>SUM(J12:J15)</f>
        <v>2.1833333332906477</v>
      </c>
      <c r="K16" s="159">
        <f>SUM(K12:K15)</f>
        <v>2.1833333332906477</v>
      </c>
      <c r="L16" s="131"/>
      <c r="M16" s="132"/>
      <c r="N16" s="132"/>
      <c r="O16" s="133"/>
      <c r="P16" s="127"/>
      <c r="Q16" s="35">
        <f t="shared" si="0"/>
      </c>
      <c r="R16" s="35">
        <f t="shared" si="1"/>
      </c>
      <c r="S16" s="35">
        <f t="shared" si="2"/>
      </c>
      <c r="T16" s="36">
        <f t="shared" si="3"/>
        <v>0</v>
      </c>
      <c r="U16" s="30"/>
      <c r="V16" s="30"/>
      <c r="W16" s="30"/>
    </row>
    <row r="17" spans="1:23" s="138" customFormat="1" ht="12.75">
      <c r="A17" s="146">
        <v>10</v>
      </c>
      <c r="B17" s="147">
        <v>42305.333333333336</v>
      </c>
      <c r="C17" s="147">
        <v>42305.538194444445</v>
      </c>
      <c r="D17" s="94">
        <f>(C17-B17)*24</f>
        <v>4.916666666627862</v>
      </c>
      <c r="E17" s="147" t="s">
        <v>81</v>
      </c>
      <c r="F17" s="148">
        <v>106375</v>
      </c>
      <c r="G17" s="149"/>
      <c r="H17" s="147">
        <v>42305.538194444445</v>
      </c>
      <c r="I17" s="147">
        <v>42305.680555555555</v>
      </c>
      <c r="J17" s="94">
        <f>(I17-H17)*24</f>
        <v>3.4166666666278616</v>
      </c>
      <c r="K17" s="94">
        <f>(I17-H17)*24</f>
        <v>3.4166666666278616</v>
      </c>
      <c r="L17" s="150" t="s">
        <v>22</v>
      </c>
      <c r="M17" s="151" t="s">
        <v>22</v>
      </c>
      <c r="N17" s="151" t="s">
        <v>22</v>
      </c>
      <c r="O17" s="152" t="s">
        <v>17</v>
      </c>
      <c r="P17" s="147" t="s">
        <v>82</v>
      </c>
      <c r="Q17" s="35">
        <f t="shared" si="0"/>
        <v>1</v>
      </c>
      <c r="R17" s="35">
        <f t="shared" si="1"/>
      </c>
      <c r="S17" s="35">
        <f t="shared" si="2"/>
      </c>
      <c r="T17" s="36">
        <f aca="true" t="shared" si="4" ref="T17:T23">SUM(Q17:S17)</f>
        <v>1</v>
      </c>
      <c r="U17" s="137"/>
      <c r="V17" s="137"/>
      <c r="W17" s="137"/>
    </row>
    <row r="18" spans="1:23" s="136" customFormat="1" ht="15.75" customHeight="1">
      <c r="A18" s="139">
        <v>12</v>
      </c>
      <c r="B18" s="140">
        <v>42305.680555555555</v>
      </c>
      <c r="C18" s="140">
        <v>42310.333333333336</v>
      </c>
      <c r="D18" s="153">
        <f>(C18-B18)*24+1</f>
        <v>112.66666666674428</v>
      </c>
      <c r="E18" s="140" t="s">
        <v>69</v>
      </c>
      <c r="F18" s="141"/>
      <c r="G18" s="142"/>
      <c r="H18" s="140"/>
      <c r="I18" s="140"/>
      <c r="J18" s="153">
        <f>(I18-H18)*24</f>
        <v>0</v>
      </c>
      <c r="K18" s="153">
        <f>(I18-H18)*24</f>
        <v>0</v>
      </c>
      <c r="L18" s="143"/>
      <c r="M18" s="144"/>
      <c r="N18" s="144"/>
      <c r="O18" s="145" t="s">
        <v>21</v>
      </c>
      <c r="P18" s="140"/>
      <c r="Q18" s="35">
        <f t="shared" si="0"/>
      </c>
      <c r="R18" s="35">
        <f t="shared" si="1"/>
        <v>1</v>
      </c>
      <c r="S18" s="35">
        <f t="shared" si="2"/>
      </c>
      <c r="T18" s="36">
        <f t="shared" si="4"/>
        <v>1</v>
      </c>
      <c r="U18" s="135"/>
      <c r="V18" s="135"/>
      <c r="W18" s="135"/>
    </row>
    <row r="19" spans="1:23" s="34" customFormat="1" ht="12.75">
      <c r="A19" s="124"/>
      <c r="B19" s="125"/>
      <c r="C19" s="125"/>
      <c r="D19" s="126">
        <f>SUM(D17:D18)</f>
        <v>117.58333333337214</v>
      </c>
      <c r="E19" s="127"/>
      <c r="F19" s="128"/>
      <c r="G19" s="129"/>
      <c r="H19" s="130"/>
      <c r="I19" s="130"/>
      <c r="J19" s="159">
        <f>SUM(J17:J18)</f>
        <v>3.4166666666278616</v>
      </c>
      <c r="K19" s="159">
        <f>SUM(K17:K18)</f>
        <v>3.4166666666278616</v>
      </c>
      <c r="L19" s="131"/>
      <c r="M19" s="132"/>
      <c r="N19" s="132"/>
      <c r="O19" s="133"/>
      <c r="P19" s="127"/>
      <c r="Q19" s="35">
        <f t="shared" si="0"/>
      </c>
      <c r="R19" s="35">
        <f t="shared" si="1"/>
      </c>
      <c r="S19" s="35">
        <f t="shared" si="2"/>
      </c>
      <c r="T19" s="36">
        <f t="shared" si="4"/>
        <v>0</v>
      </c>
      <c r="U19" s="30"/>
      <c r="V19" s="30"/>
      <c r="W19" s="30"/>
    </row>
    <row r="20" spans="1:23" s="34" customFormat="1" ht="12.75">
      <c r="A20" s="139"/>
      <c r="B20" s="173"/>
      <c r="C20" s="173"/>
      <c r="D20" s="174"/>
      <c r="E20" s="140"/>
      <c r="F20" s="141">
        <v>106381</v>
      </c>
      <c r="G20" s="142"/>
      <c r="H20" s="173">
        <v>42312.333333333336</v>
      </c>
      <c r="I20" s="173">
        <v>42312.34166666667</v>
      </c>
      <c r="J20" s="153">
        <f>(I20-H20)*24</f>
        <v>0.19999999995343387</v>
      </c>
      <c r="K20" s="153">
        <f>(I20-H20)*24</f>
        <v>0.19999999995343387</v>
      </c>
      <c r="L20" s="143" t="s">
        <v>68</v>
      </c>
      <c r="M20" s="144" t="s">
        <v>68</v>
      </c>
      <c r="N20" s="144" t="s">
        <v>68</v>
      </c>
      <c r="O20" s="145" t="s">
        <v>73</v>
      </c>
      <c r="P20" s="140"/>
      <c r="Q20" s="35">
        <f t="shared" si="0"/>
      </c>
      <c r="R20" s="35">
        <f t="shared" si="1"/>
      </c>
      <c r="S20" s="35">
        <f t="shared" si="2"/>
        <v>1</v>
      </c>
      <c r="T20" s="36">
        <f t="shared" si="4"/>
        <v>1</v>
      </c>
      <c r="U20" s="30"/>
      <c r="V20" s="30"/>
      <c r="W20" s="30"/>
    </row>
    <row r="21" spans="1:23" s="138" customFormat="1" ht="12.75">
      <c r="A21" s="146">
        <v>13</v>
      </c>
      <c r="B21" s="147">
        <v>42312.34166666667</v>
      </c>
      <c r="C21" s="147">
        <v>42312.60208333333</v>
      </c>
      <c r="D21" s="94">
        <f>(C21-B21)*24</f>
        <v>6.249999999941792</v>
      </c>
      <c r="E21" s="147" t="s">
        <v>83</v>
      </c>
      <c r="F21" s="148">
        <v>106382</v>
      </c>
      <c r="G21" s="149"/>
      <c r="H21" s="147">
        <v>42312.60208333333</v>
      </c>
      <c r="I21" s="147">
        <v>42312.620833333334</v>
      </c>
      <c r="J21" s="94">
        <f>(I21-H21)*24</f>
        <v>0.4500000000698492</v>
      </c>
      <c r="K21" s="94">
        <f>(I21-H21)*24</f>
        <v>0.4500000000698492</v>
      </c>
      <c r="L21" s="150" t="s">
        <v>22</v>
      </c>
      <c r="M21" s="151" t="s">
        <v>22</v>
      </c>
      <c r="N21" s="151" t="s">
        <v>22</v>
      </c>
      <c r="O21" s="152" t="s">
        <v>17</v>
      </c>
      <c r="P21" s="147"/>
      <c r="Q21" s="35">
        <f t="shared" si="0"/>
        <v>1</v>
      </c>
      <c r="R21" s="35">
        <f t="shared" si="1"/>
      </c>
      <c r="S21" s="35">
        <f t="shared" si="2"/>
      </c>
      <c r="T21" s="36">
        <f t="shared" si="4"/>
        <v>1</v>
      </c>
      <c r="U21" s="137"/>
      <c r="V21" s="137"/>
      <c r="W21" s="137"/>
    </row>
    <row r="22" spans="1:23" s="136" customFormat="1" ht="15.75" customHeight="1">
      <c r="A22" s="139">
        <v>14</v>
      </c>
      <c r="B22" s="140">
        <v>42312.620833333334</v>
      </c>
      <c r="C22" s="140">
        <v>42318.333333333336</v>
      </c>
      <c r="D22" s="153">
        <f>(C22-B22)*24</f>
        <v>137.10000000003492</v>
      </c>
      <c r="E22" s="140" t="s">
        <v>69</v>
      </c>
      <c r="F22" s="141"/>
      <c r="G22" s="142"/>
      <c r="H22" s="140"/>
      <c r="I22" s="140"/>
      <c r="J22" s="153">
        <f>(I22-H22)*24</f>
        <v>0</v>
      </c>
      <c r="K22" s="153">
        <f>(I22-H22)*24</f>
        <v>0</v>
      </c>
      <c r="L22" s="143"/>
      <c r="M22" s="144"/>
      <c r="N22" s="144"/>
      <c r="O22" s="145" t="s">
        <v>21</v>
      </c>
      <c r="P22" s="140"/>
      <c r="Q22" s="35">
        <f t="shared" si="0"/>
      </c>
      <c r="R22" s="35">
        <f t="shared" si="1"/>
        <v>1</v>
      </c>
      <c r="S22" s="35">
        <f t="shared" si="2"/>
      </c>
      <c r="T22" s="36">
        <f t="shared" si="4"/>
        <v>1</v>
      </c>
      <c r="U22" s="135"/>
      <c r="V22" s="135"/>
      <c r="W22" s="135"/>
    </row>
    <row r="23" spans="1:23" s="34" customFormat="1" ht="12.75">
      <c r="A23" s="124"/>
      <c r="B23" s="125"/>
      <c r="C23" s="125"/>
      <c r="D23" s="126">
        <f>SUM(D20:D22)</f>
        <v>143.34999999997672</v>
      </c>
      <c r="E23" s="127"/>
      <c r="F23" s="128"/>
      <c r="G23" s="129"/>
      <c r="H23" s="130"/>
      <c r="I23" s="130"/>
      <c r="J23" s="159">
        <f>SUM(J20:J22)</f>
        <v>0.6500000000232831</v>
      </c>
      <c r="K23" s="159">
        <f>SUM(K20:K22)</f>
        <v>0.6500000000232831</v>
      </c>
      <c r="L23" s="131"/>
      <c r="M23" s="132"/>
      <c r="N23" s="132"/>
      <c r="O23" s="133"/>
      <c r="P23" s="127"/>
      <c r="Q23" s="35">
        <f t="shared" si="0"/>
      </c>
      <c r="R23" s="35">
        <f t="shared" si="1"/>
      </c>
      <c r="S23" s="35">
        <f t="shared" si="2"/>
      </c>
      <c r="T23" s="36">
        <f t="shared" si="4"/>
        <v>0</v>
      </c>
      <c r="U23" s="30"/>
      <c r="V23" s="30"/>
      <c r="W23" s="30"/>
    </row>
    <row r="24" spans="1:23" s="34" customFormat="1" ht="12.75">
      <c r="A24" s="146">
        <v>15</v>
      </c>
      <c r="B24" s="157">
        <v>42319.333333333336</v>
      </c>
      <c r="C24" s="157">
        <v>42321.43819444445</v>
      </c>
      <c r="D24" s="156">
        <f>(C24-B24)*24</f>
        <v>50.516666666662786</v>
      </c>
      <c r="E24" s="147" t="s">
        <v>84</v>
      </c>
      <c r="F24" s="148">
        <v>106384</v>
      </c>
      <c r="G24" s="149"/>
      <c r="H24" s="157">
        <v>42321.43819444445</v>
      </c>
      <c r="I24" s="157">
        <v>42321.4875</v>
      </c>
      <c r="J24" s="156">
        <f>(I24-H24)*24</f>
        <v>1.1833333333488554</v>
      </c>
      <c r="K24" s="156">
        <f>(I24-H24)*24</f>
        <v>1.1833333333488554</v>
      </c>
      <c r="L24" s="150" t="s">
        <v>22</v>
      </c>
      <c r="M24" s="151" t="s">
        <v>22</v>
      </c>
      <c r="N24" s="151" t="s">
        <v>22</v>
      </c>
      <c r="O24" s="152" t="s">
        <v>17</v>
      </c>
      <c r="P24" s="147"/>
      <c r="Q24" s="35">
        <f>IF($O24="Store Lost",1,"")</f>
        <v>1</v>
      </c>
      <c r="R24" s="35"/>
      <c r="S24" s="35"/>
      <c r="T24" s="36"/>
      <c r="U24" s="30"/>
      <c r="V24" s="30"/>
      <c r="W24" s="30"/>
    </row>
    <row r="25" spans="1:23" s="34" customFormat="1" ht="12.75">
      <c r="A25" s="139">
        <v>16</v>
      </c>
      <c r="B25" s="158">
        <v>42321.4875</v>
      </c>
      <c r="C25" s="158">
        <v>42324.74513888889</v>
      </c>
      <c r="D25" s="153">
        <f>(C25-B25)*24</f>
        <v>78.18333333323244</v>
      </c>
      <c r="E25" s="140" t="s">
        <v>77</v>
      </c>
      <c r="F25" s="141">
        <v>106385</v>
      </c>
      <c r="G25" s="142"/>
      <c r="H25" s="158">
        <v>42324.74513888889</v>
      </c>
      <c r="I25" s="158">
        <v>42324.777083333334</v>
      </c>
      <c r="J25" s="153">
        <f>(I25-H25)*24</f>
        <v>0.7666666667209938</v>
      </c>
      <c r="K25" s="153">
        <f>(I25-H25)*24</f>
        <v>0.7666666667209938</v>
      </c>
      <c r="L25" s="143" t="s">
        <v>66</v>
      </c>
      <c r="M25" s="144" t="s">
        <v>66</v>
      </c>
      <c r="N25" s="144" t="s">
        <v>66</v>
      </c>
      <c r="O25" s="145" t="s">
        <v>17</v>
      </c>
      <c r="P25" s="140"/>
      <c r="Q25" s="35">
        <f>IF($O25="Store Lost",1,"")</f>
        <v>1</v>
      </c>
      <c r="R25" s="35">
        <f>IF($O25="Scheduled",1,"")</f>
      </c>
      <c r="S25" s="35">
        <f>IF($O25="Inhibits beam to user",1,"")</f>
      </c>
      <c r="T25" s="36">
        <f>SUM(Q25:S25)</f>
        <v>1</v>
      </c>
      <c r="U25" s="30"/>
      <c r="V25" s="30"/>
      <c r="W25" s="30"/>
    </row>
    <row r="26" spans="1:23" s="136" customFormat="1" ht="12.75">
      <c r="A26" s="146">
        <v>17</v>
      </c>
      <c r="B26" s="147">
        <v>42324.777083333334</v>
      </c>
      <c r="C26" s="147">
        <v>42325.333333333336</v>
      </c>
      <c r="D26" s="156">
        <f>(C26-B26)*24</f>
        <v>13.350000000034925</v>
      </c>
      <c r="E26" s="147" t="s">
        <v>70</v>
      </c>
      <c r="F26" s="148"/>
      <c r="G26" s="149"/>
      <c r="H26" s="147"/>
      <c r="I26" s="147"/>
      <c r="J26" s="156">
        <f>(I26-H26)*24</f>
        <v>0</v>
      </c>
      <c r="K26" s="156">
        <f>(I26-H26)*24</f>
        <v>0</v>
      </c>
      <c r="L26" s="150"/>
      <c r="M26" s="151"/>
      <c r="N26" s="151"/>
      <c r="O26" s="152" t="s">
        <v>21</v>
      </c>
      <c r="P26" s="147"/>
      <c r="Q26" s="35">
        <f>IF($O26="Store Lost",1,"")</f>
      </c>
      <c r="R26" s="35">
        <f>IF($O26="Scheduled",1,"")</f>
        <v>1</v>
      </c>
      <c r="S26" s="35">
        <f>IF($O26="Inhibits beam to user",1,"")</f>
      </c>
      <c r="T26" s="36">
        <f>SUM(Q26:S26)</f>
        <v>1</v>
      </c>
      <c r="U26" s="135"/>
      <c r="V26" s="135"/>
      <c r="W26" s="135"/>
    </row>
    <row r="27" spans="1:23" s="34" customFormat="1" ht="12.75">
      <c r="A27" s="124"/>
      <c r="B27" s="125"/>
      <c r="C27" s="125"/>
      <c r="D27" s="126">
        <f>SUM(D24:D26)</f>
        <v>142.04999999993015</v>
      </c>
      <c r="E27" s="127"/>
      <c r="F27" s="128"/>
      <c r="G27" s="129"/>
      <c r="H27" s="130"/>
      <c r="I27" s="130"/>
      <c r="J27" s="159">
        <f>SUM(J24:J26)</f>
        <v>1.9500000000698492</v>
      </c>
      <c r="K27" s="159">
        <f>SUM(K24:K26)</f>
        <v>1.9500000000698492</v>
      </c>
      <c r="L27" s="131"/>
      <c r="M27" s="132"/>
      <c r="N27" s="132"/>
      <c r="O27" s="133"/>
      <c r="P27" s="127"/>
      <c r="Q27" s="35">
        <f>IF($O27="Store Lost",1,"")</f>
      </c>
      <c r="R27" s="35">
        <f>IF($O27="Scheduled",1,"")</f>
      </c>
      <c r="S27" s="35">
        <f>IF($O27="Inhibits beam to user",1,"")</f>
      </c>
      <c r="T27" s="36">
        <f>SUM(Q27:S27)</f>
        <v>0</v>
      </c>
      <c r="U27" s="30"/>
      <c r="V27" s="30"/>
      <c r="W27" s="30"/>
    </row>
    <row r="28" spans="1:23" s="34" customFormat="1" ht="12.75">
      <c r="A28" s="139"/>
      <c r="B28" s="173"/>
      <c r="C28" s="173"/>
      <c r="D28" s="174"/>
      <c r="E28" s="140"/>
      <c r="F28" s="141">
        <v>106386</v>
      </c>
      <c r="G28" s="142"/>
      <c r="H28" s="173">
        <v>42326.333333333336</v>
      </c>
      <c r="I28" s="173">
        <v>42326.37569444445</v>
      </c>
      <c r="J28" s="153">
        <f>(I28-H28)*24</f>
        <v>1.0166666666627862</v>
      </c>
      <c r="K28" s="153">
        <f>(I28-H28)*24</f>
        <v>1.0166666666627862</v>
      </c>
      <c r="L28" s="143" t="s">
        <v>68</v>
      </c>
      <c r="M28" s="144" t="s">
        <v>68</v>
      </c>
      <c r="N28" s="144" t="s">
        <v>68</v>
      </c>
      <c r="O28" s="145" t="s">
        <v>73</v>
      </c>
      <c r="P28" s="140" t="s">
        <v>86</v>
      </c>
      <c r="Q28" s="35">
        <f aca="true" t="shared" si="5" ref="Q28:Q42">IF($O28="Store Lost",1,"")</f>
      </c>
      <c r="R28" s="35">
        <f aca="true" t="shared" si="6" ref="R28:R42">IF($O28="Scheduled",1,"")</f>
      </c>
      <c r="S28" s="35">
        <f aca="true" t="shared" si="7" ref="S28:S42">IF($O28="Inhibits beam to user",1,"")</f>
        <v>1</v>
      </c>
      <c r="T28" s="36">
        <f aca="true" t="shared" si="8" ref="T28:T33">SUM(Q28:S28)</f>
        <v>1</v>
      </c>
      <c r="U28" s="30"/>
      <c r="V28" s="30"/>
      <c r="W28" s="30"/>
    </row>
    <row r="29" spans="1:23" s="138" customFormat="1" ht="12.75">
      <c r="A29" s="146">
        <v>18</v>
      </c>
      <c r="B29" s="147">
        <v>42326.37569444445</v>
      </c>
      <c r="C29" s="147">
        <v>42333.53611111111</v>
      </c>
      <c r="D29" s="94">
        <f>(C29-B29)*24</f>
        <v>171.84999999997672</v>
      </c>
      <c r="E29" s="147" t="s">
        <v>85</v>
      </c>
      <c r="F29" s="148">
        <v>106391</v>
      </c>
      <c r="G29" s="149"/>
      <c r="H29" s="147">
        <v>42333.53611111111</v>
      </c>
      <c r="I29" s="147">
        <v>42333.55625</v>
      </c>
      <c r="J29" s="94">
        <f>(I29-H29)*24</f>
        <v>0.48333333333721384</v>
      </c>
      <c r="K29" s="94">
        <f>(I29-H29)*24</f>
        <v>0.48333333333721384</v>
      </c>
      <c r="L29" s="150" t="s">
        <v>22</v>
      </c>
      <c r="M29" s="151" t="s">
        <v>22</v>
      </c>
      <c r="N29" s="151" t="s">
        <v>22</v>
      </c>
      <c r="O29" s="152" t="s">
        <v>17</v>
      </c>
      <c r="P29" s="147"/>
      <c r="Q29" s="35">
        <f t="shared" si="5"/>
        <v>1</v>
      </c>
      <c r="R29" s="35">
        <f t="shared" si="6"/>
      </c>
      <c r="S29" s="35">
        <f t="shared" si="7"/>
      </c>
      <c r="T29" s="36">
        <f t="shared" si="8"/>
        <v>1</v>
      </c>
      <c r="U29" s="137"/>
      <c r="V29" s="137"/>
      <c r="W29" s="137"/>
    </row>
    <row r="30" spans="1:23" s="136" customFormat="1" ht="15.75" customHeight="1">
      <c r="A30" s="139">
        <v>19</v>
      </c>
      <c r="B30" s="140">
        <v>42333.55625</v>
      </c>
      <c r="C30" s="140">
        <v>42334</v>
      </c>
      <c r="D30" s="153">
        <f>(C30-B30)*24</f>
        <v>10.649999999965075</v>
      </c>
      <c r="E30" s="140" t="s">
        <v>69</v>
      </c>
      <c r="F30" s="141"/>
      <c r="G30" s="142"/>
      <c r="H30" s="140"/>
      <c r="I30" s="140"/>
      <c r="J30" s="153">
        <f>(I30-H30)*24</f>
        <v>0</v>
      </c>
      <c r="K30" s="153">
        <f>(I30-H30)*24</f>
        <v>0</v>
      </c>
      <c r="L30" s="143"/>
      <c r="M30" s="144"/>
      <c r="N30" s="144"/>
      <c r="O30" s="145" t="s">
        <v>21</v>
      </c>
      <c r="P30" s="140"/>
      <c r="Q30" s="35">
        <f t="shared" si="5"/>
      </c>
      <c r="R30" s="35">
        <f t="shared" si="6"/>
        <v>1</v>
      </c>
      <c r="S30" s="35">
        <f t="shared" si="7"/>
      </c>
      <c r="T30" s="36">
        <f t="shared" si="8"/>
        <v>1</v>
      </c>
      <c r="U30" s="135"/>
      <c r="V30" s="135"/>
      <c r="W30" s="135"/>
    </row>
    <row r="31" spans="1:23" s="34" customFormat="1" ht="12.75">
      <c r="A31" s="124"/>
      <c r="B31" s="125"/>
      <c r="C31" s="125"/>
      <c r="D31" s="126">
        <f>SUM(D28:D30)</f>
        <v>182.4999999999418</v>
      </c>
      <c r="E31" s="127"/>
      <c r="F31" s="128"/>
      <c r="G31" s="129"/>
      <c r="H31" s="130"/>
      <c r="I31" s="130"/>
      <c r="J31" s="159">
        <f>SUM(J28:J30)</f>
        <v>1.5</v>
      </c>
      <c r="K31" s="159">
        <f>SUM(K28:K30)</f>
        <v>1.5</v>
      </c>
      <c r="L31" s="131"/>
      <c r="M31" s="132"/>
      <c r="N31" s="132"/>
      <c r="O31" s="133"/>
      <c r="P31" s="127"/>
      <c r="Q31" s="35">
        <f t="shared" si="5"/>
      </c>
      <c r="R31" s="35">
        <f t="shared" si="6"/>
      </c>
      <c r="S31" s="35">
        <f t="shared" si="7"/>
      </c>
      <c r="T31" s="36">
        <f t="shared" si="8"/>
        <v>0</v>
      </c>
      <c r="U31" s="30"/>
      <c r="V31" s="30"/>
      <c r="W31" s="30"/>
    </row>
    <row r="32" spans="1:23" s="136" customFormat="1" ht="15.75" customHeight="1">
      <c r="A32" s="139">
        <v>20</v>
      </c>
      <c r="B32" s="140">
        <v>42335.333333333336</v>
      </c>
      <c r="C32" s="140">
        <v>42339.333333333336</v>
      </c>
      <c r="D32" s="153">
        <f>(C32-B32)*24</f>
        <v>96</v>
      </c>
      <c r="E32" s="140" t="s">
        <v>69</v>
      </c>
      <c r="F32" s="141"/>
      <c r="G32" s="142"/>
      <c r="H32" s="140"/>
      <c r="I32" s="140"/>
      <c r="J32" s="153">
        <f>(I32-H32)*24</f>
        <v>0</v>
      </c>
      <c r="K32" s="153">
        <f>(I32-H32)*24</f>
        <v>0</v>
      </c>
      <c r="L32" s="143"/>
      <c r="M32" s="144"/>
      <c r="N32" s="144"/>
      <c r="O32" s="145" t="s">
        <v>21</v>
      </c>
      <c r="P32" s="140"/>
      <c r="Q32" s="35">
        <f t="shared" si="5"/>
      </c>
      <c r="R32" s="35">
        <f t="shared" si="6"/>
        <v>1</v>
      </c>
      <c r="S32" s="35">
        <f t="shared" si="7"/>
      </c>
      <c r="T32" s="36">
        <f t="shared" si="8"/>
        <v>1</v>
      </c>
      <c r="U32" s="135"/>
      <c r="V32" s="135"/>
      <c r="W32" s="135"/>
    </row>
    <row r="33" spans="1:23" s="34" customFormat="1" ht="12.75">
      <c r="A33" s="124"/>
      <c r="B33" s="125"/>
      <c r="C33" s="125"/>
      <c r="D33" s="126">
        <f>SUM(D32:D32)</f>
        <v>96</v>
      </c>
      <c r="E33" s="127"/>
      <c r="F33" s="128"/>
      <c r="G33" s="129"/>
      <c r="H33" s="130"/>
      <c r="I33" s="130"/>
      <c r="J33" s="159">
        <f>SUM(J32:J32)</f>
        <v>0</v>
      </c>
      <c r="K33" s="159">
        <f>SUM(K32:K32)</f>
        <v>0</v>
      </c>
      <c r="L33" s="131"/>
      <c r="M33" s="132"/>
      <c r="N33" s="132"/>
      <c r="O33" s="133"/>
      <c r="P33" s="127"/>
      <c r="Q33" s="35">
        <f t="shared" si="5"/>
      </c>
      <c r="R33" s="35">
        <f t="shared" si="6"/>
      </c>
      <c r="S33" s="35">
        <f t="shared" si="7"/>
      </c>
      <c r="T33" s="36">
        <f t="shared" si="8"/>
        <v>0</v>
      </c>
      <c r="U33" s="30"/>
      <c r="V33" s="30"/>
      <c r="W33" s="30"/>
    </row>
    <row r="34" spans="1:23" s="136" customFormat="1" ht="15.75" customHeight="1">
      <c r="A34" s="139">
        <v>21</v>
      </c>
      <c r="B34" s="140">
        <v>42340.333333333336</v>
      </c>
      <c r="C34" s="140">
        <v>42346.333333333336</v>
      </c>
      <c r="D34" s="153">
        <f>(C34-B34)*24</f>
        <v>144</v>
      </c>
      <c r="E34" s="140" t="s">
        <v>69</v>
      </c>
      <c r="F34" s="141"/>
      <c r="G34" s="142"/>
      <c r="H34" s="140"/>
      <c r="I34" s="140"/>
      <c r="J34" s="153">
        <f>(I34-H34)*24</f>
        <v>0</v>
      </c>
      <c r="K34" s="153">
        <f>(I34-H34)*24</f>
        <v>0</v>
      </c>
      <c r="L34" s="143"/>
      <c r="M34" s="144"/>
      <c r="N34" s="144"/>
      <c r="O34" s="145" t="s">
        <v>21</v>
      </c>
      <c r="P34" s="140"/>
      <c r="Q34" s="35">
        <f t="shared" si="5"/>
      </c>
      <c r="R34" s="35">
        <f t="shared" si="6"/>
        <v>1</v>
      </c>
      <c r="S34" s="35">
        <f t="shared" si="7"/>
      </c>
      <c r="T34" s="36">
        <f>SUM(Q34:S34)</f>
        <v>1</v>
      </c>
      <c r="U34" s="135"/>
      <c r="V34" s="135"/>
      <c r="W34" s="135"/>
    </row>
    <row r="35" spans="1:23" s="34" customFormat="1" ht="12.75">
      <c r="A35" s="124"/>
      <c r="B35" s="125"/>
      <c r="C35" s="125"/>
      <c r="D35" s="126">
        <f>SUM(D34:D34)</f>
        <v>144</v>
      </c>
      <c r="E35" s="127"/>
      <c r="F35" s="128"/>
      <c r="G35" s="129"/>
      <c r="H35" s="130"/>
      <c r="I35" s="130"/>
      <c r="J35" s="159">
        <f>SUM(J34:J34)</f>
        <v>0</v>
      </c>
      <c r="K35" s="159">
        <f>SUM(K34:K34)</f>
        <v>0</v>
      </c>
      <c r="L35" s="131"/>
      <c r="M35" s="132"/>
      <c r="N35" s="132"/>
      <c r="O35" s="133"/>
      <c r="P35" s="127"/>
      <c r="Q35" s="35">
        <f t="shared" si="5"/>
      </c>
      <c r="R35" s="35">
        <f t="shared" si="6"/>
      </c>
      <c r="S35" s="35">
        <f t="shared" si="7"/>
      </c>
      <c r="T35" s="36">
        <f>SUM(Q35:S35)</f>
        <v>0</v>
      </c>
      <c r="U35" s="30"/>
      <c r="V35" s="30"/>
      <c r="W35" s="30"/>
    </row>
    <row r="36" spans="1:23" s="136" customFormat="1" ht="15.75" customHeight="1">
      <c r="A36" s="139">
        <v>22</v>
      </c>
      <c r="B36" s="140">
        <v>42347.333333333336</v>
      </c>
      <c r="C36" s="140">
        <v>42353.333333333336</v>
      </c>
      <c r="D36" s="153">
        <f>(C36-B36)*24</f>
        <v>144</v>
      </c>
      <c r="E36" s="140" t="s">
        <v>69</v>
      </c>
      <c r="F36" s="141"/>
      <c r="G36" s="142"/>
      <c r="H36" s="140"/>
      <c r="I36" s="140"/>
      <c r="J36" s="153">
        <f>(I36-H36)*24</f>
        <v>0</v>
      </c>
      <c r="K36" s="153">
        <f>(I36-H36)*24</f>
        <v>0</v>
      </c>
      <c r="L36" s="143"/>
      <c r="M36" s="144"/>
      <c r="N36" s="144"/>
      <c r="O36" s="145" t="s">
        <v>21</v>
      </c>
      <c r="P36" s="140"/>
      <c r="Q36" s="35">
        <f t="shared" si="5"/>
      </c>
      <c r="R36" s="35">
        <f t="shared" si="6"/>
        <v>1</v>
      </c>
      <c r="S36" s="35">
        <f t="shared" si="7"/>
      </c>
      <c r="T36" s="36">
        <f>SUM(Q36:S36)</f>
        <v>1</v>
      </c>
      <c r="U36" s="135"/>
      <c r="V36" s="135"/>
      <c r="W36" s="135"/>
    </row>
    <row r="37" spans="1:23" s="34" customFormat="1" ht="12.75">
      <c r="A37" s="124"/>
      <c r="B37" s="125"/>
      <c r="C37" s="125"/>
      <c r="D37" s="126">
        <f>SUM(D36:D36)</f>
        <v>144</v>
      </c>
      <c r="E37" s="127"/>
      <c r="F37" s="128"/>
      <c r="G37" s="129"/>
      <c r="H37" s="130"/>
      <c r="I37" s="130"/>
      <c r="J37" s="159">
        <f>SUM(J36:J36)</f>
        <v>0</v>
      </c>
      <c r="K37" s="159">
        <f>SUM(K36:K36)</f>
        <v>0</v>
      </c>
      <c r="L37" s="131"/>
      <c r="M37" s="132"/>
      <c r="N37" s="132"/>
      <c r="O37" s="133"/>
      <c r="P37" s="127"/>
      <c r="Q37" s="35">
        <f t="shared" si="5"/>
      </c>
      <c r="R37" s="35">
        <f t="shared" si="6"/>
      </c>
      <c r="S37" s="35">
        <f t="shared" si="7"/>
      </c>
      <c r="T37" s="36">
        <f>SUM(Q37:S37)</f>
        <v>0</v>
      </c>
      <c r="U37" s="30"/>
      <c r="V37" s="30"/>
      <c r="W37" s="30"/>
    </row>
    <row r="38" spans="1:23" s="34" customFormat="1" ht="12.75">
      <c r="A38" s="164">
        <v>23</v>
      </c>
      <c r="B38" s="165">
        <v>42354.333333333336</v>
      </c>
      <c r="C38" s="165">
        <v>42355.51944444444</v>
      </c>
      <c r="D38" s="94">
        <f>(C38-B38)*24</f>
        <v>28.466666666558012</v>
      </c>
      <c r="E38" s="167" t="s">
        <v>87</v>
      </c>
      <c r="F38" s="168">
        <v>106393</v>
      </c>
      <c r="G38" s="169"/>
      <c r="H38" s="165">
        <v>42355.51944444444</v>
      </c>
      <c r="I38" s="165">
        <v>42355.555555555555</v>
      </c>
      <c r="J38" s="94">
        <f>(I38-H38)*24</f>
        <v>0.8666666666977108</v>
      </c>
      <c r="K38" s="163">
        <f>(I38-H38)*24</f>
        <v>0.8666666666977108</v>
      </c>
      <c r="L38" s="170" t="s">
        <v>24</v>
      </c>
      <c r="M38" s="171" t="s">
        <v>24</v>
      </c>
      <c r="N38" s="171" t="s">
        <v>24</v>
      </c>
      <c r="O38" s="152" t="s">
        <v>17</v>
      </c>
      <c r="P38" s="167"/>
      <c r="Q38" s="35">
        <f t="shared" si="5"/>
        <v>1</v>
      </c>
      <c r="R38" s="35">
        <f t="shared" si="6"/>
      </c>
      <c r="S38" s="35">
        <f t="shared" si="7"/>
      </c>
      <c r="T38" s="36">
        <f>SUM(Q38:S38)</f>
        <v>1</v>
      </c>
      <c r="U38" s="30"/>
      <c r="V38" s="30"/>
      <c r="W38" s="30"/>
    </row>
    <row r="39" spans="1:23" s="136" customFormat="1" ht="15.75" customHeight="1">
      <c r="A39" s="139">
        <v>24</v>
      </c>
      <c r="B39" s="140">
        <v>42355.555555555555</v>
      </c>
      <c r="C39" s="140">
        <v>42358.41458333333</v>
      </c>
      <c r="D39" s="153">
        <f>(C39-B39)*24</f>
        <v>68.6166666666395</v>
      </c>
      <c r="E39" s="140" t="s">
        <v>88</v>
      </c>
      <c r="F39" s="141">
        <v>106395</v>
      </c>
      <c r="G39" s="142"/>
      <c r="H39" s="160">
        <v>42358.41458333333</v>
      </c>
      <c r="I39" s="160">
        <v>42358.48125</v>
      </c>
      <c r="J39" s="153">
        <f>(I39-H39)*24</f>
        <v>1.599999999976717</v>
      </c>
      <c r="K39" s="153">
        <f>(I39-H39)*24</f>
        <v>1.599999999976717</v>
      </c>
      <c r="L39" s="143" t="s">
        <v>23</v>
      </c>
      <c r="M39" s="144" t="s">
        <v>23</v>
      </c>
      <c r="N39" s="144" t="s">
        <v>23</v>
      </c>
      <c r="O39" s="145" t="s">
        <v>17</v>
      </c>
      <c r="P39" s="140"/>
      <c r="Q39" s="35">
        <f t="shared" si="5"/>
        <v>1</v>
      </c>
      <c r="R39" s="35">
        <f t="shared" si="6"/>
      </c>
      <c r="S39" s="35">
        <f t="shared" si="7"/>
      </c>
      <c r="T39" s="36">
        <f>SUM(Q39:S39)</f>
        <v>1</v>
      </c>
      <c r="U39" s="135"/>
      <c r="V39" s="135"/>
      <c r="W39" s="135"/>
    </row>
    <row r="40" spans="1:23" s="138" customFormat="1" ht="12.75">
      <c r="A40" s="146">
        <v>25</v>
      </c>
      <c r="B40" s="147">
        <v>42358.48125</v>
      </c>
      <c r="C40" s="147">
        <v>42358.59097222222</v>
      </c>
      <c r="D40" s="94">
        <f>(C40-B40)*24</f>
        <v>2.633333333360497</v>
      </c>
      <c r="E40" s="147" t="s">
        <v>89</v>
      </c>
      <c r="F40" s="148">
        <v>106396</v>
      </c>
      <c r="G40" s="149"/>
      <c r="H40" s="147">
        <v>42358.59097222222</v>
      </c>
      <c r="I40" s="147">
        <v>42358.74930555555</v>
      </c>
      <c r="J40" s="94">
        <f>(I40-H40)*24</f>
        <v>3.7999999999883585</v>
      </c>
      <c r="K40" s="156">
        <f>(I40-H40)*24</f>
        <v>3.7999999999883585</v>
      </c>
      <c r="L40" s="150" t="s">
        <v>23</v>
      </c>
      <c r="M40" s="151" t="s">
        <v>23</v>
      </c>
      <c r="N40" s="151" t="s">
        <v>23</v>
      </c>
      <c r="O40" s="152" t="s">
        <v>17</v>
      </c>
      <c r="P40" s="147"/>
      <c r="Q40" s="35">
        <f t="shared" si="5"/>
        <v>1</v>
      </c>
      <c r="R40" s="35">
        <f t="shared" si="6"/>
      </c>
      <c r="S40" s="35">
        <f t="shared" si="7"/>
      </c>
      <c r="T40" s="36">
        <f>SUM(Q40:S40)</f>
        <v>1</v>
      </c>
      <c r="U40" s="137"/>
      <c r="V40" s="137"/>
      <c r="W40" s="137"/>
    </row>
    <row r="41" spans="1:23" s="136" customFormat="1" ht="15.75" customHeight="1">
      <c r="A41" s="139">
        <v>26</v>
      </c>
      <c r="B41" s="140">
        <v>42358.74930555555</v>
      </c>
      <c r="C41" s="140">
        <v>42359.333333333336</v>
      </c>
      <c r="D41" s="153">
        <f>(C41-B41)*24</f>
        <v>14.016666666779201</v>
      </c>
      <c r="E41" s="140" t="s">
        <v>69</v>
      </c>
      <c r="F41" s="141"/>
      <c r="G41" s="142"/>
      <c r="H41" s="140"/>
      <c r="I41" s="140"/>
      <c r="J41" s="153">
        <f>(I41-H41)*24</f>
        <v>0</v>
      </c>
      <c r="K41" s="153">
        <f>(I41-H41)*24</f>
        <v>0</v>
      </c>
      <c r="L41" s="143"/>
      <c r="M41" s="144"/>
      <c r="N41" s="144"/>
      <c r="O41" s="145" t="s">
        <v>21</v>
      </c>
      <c r="P41" s="140"/>
      <c r="Q41" s="35">
        <f t="shared" si="5"/>
      </c>
      <c r="R41" s="35">
        <f t="shared" si="6"/>
        <v>1</v>
      </c>
      <c r="S41" s="35">
        <f t="shared" si="7"/>
      </c>
      <c r="T41" s="36">
        <f>SUM(Q41:S41)</f>
        <v>1</v>
      </c>
      <c r="U41" s="135"/>
      <c r="V41" s="135"/>
      <c r="W41" s="135"/>
    </row>
    <row r="42" spans="1:23" s="34" customFormat="1" ht="12.75">
      <c r="A42" s="124"/>
      <c r="B42" s="125"/>
      <c r="C42" s="125"/>
      <c r="D42" s="126">
        <f>SUM(D38:D41)</f>
        <v>113.73333333333721</v>
      </c>
      <c r="E42" s="127"/>
      <c r="F42" s="128"/>
      <c r="G42" s="129"/>
      <c r="H42" s="130"/>
      <c r="I42" s="130"/>
      <c r="J42" s="159">
        <f>SUM(J38:J41)</f>
        <v>6.266666666662786</v>
      </c>
      <c r="K42" s="159">
        <f>SUM(K38:K41)</f>
        <v>6.266666666662786</v>
      </c>
      <c r="L42" s="131"/>
      <c r="M42" s="132"/>
      <c r="N42" s="132"/>
      <c r="O42" s="133"/>
      <c r="P42" s="127"/>
      <c r="Q42" s="35">
        <f t="shared" si="5"/>
      </c>
      <c r="R42" s="35">
        <f t="shared" si="6"/>
      </c>
      <c r="S42" s="35">
        <f t="shared" si="7"/>
      </c>
      <c r="T42" s="36">
        <f>SUM(Q42:S42)</f>
        <v>0</v>
      </c>
      <c r="U42" s="30"/>
      <c r="V42" s="30"/>
      <c r="W42" s="30"/>
    </row>
    <row r="43" spans="1:20" ht="12.75">
      <c r="A43" s="85"/>
      <c r="B43" s="86"/>
      <c r="C43" s="86"/>
      <c r="D43" s="49"/>
      <c r="E43" s="87"/>
      <c r="F43" s="88"/>
      <c r="G43" s="89"/>
      <c r="H43" s="86"/>
      <c r="I43" s="86"/>
      <c r="J43" s="90"/>
      <c r="K43" s="90"/>
      <c r="L43" s="91"/>
      <c r="M43" s="92"/>
      <c r="N43" s="92"/>
      <c r="O43" s="93"/>
      <c r="P43" s="87"/>
      <c r="Q43" s="30"/>
      <c r="R43" s="30"/>
      <c r="S43" s="30"/>
      <c r="T43" s="30"/>
    </row>
    <row r="44" spans="1:18" ht="12.75">
      <c r="A44" s="28"/>
      <c r="B44" s="14"/>
      <c r="C44" s="37" t="s">
        <v>26</v>
      </c>
      <c r="D44" s="38">
        <f>Q46</f>
        <v>13</v>
      </c>
      <c r="E44" s="16"/>
      <c r="F44" s="29"/>
      <c r="G44" s="18"/>
      <c r="H44" s="19"/>
      <c r="I44" s="19"/>
      <c r="J44" s="39" t="s">
        <v>27</v>
      </c>
      <c r="K44" s="40"/>
      <c r="L44" s="21"/>
      <c r="M44" s="22"/>
      <c r="N44" s="22"/>
      <c r="O44" s="41"/>
      <c r="P44" s="23"/>
      <c r="R44" s="12">
        <f>IF($L44="Scheduled",1,"")</f>
      </c>
    </row>
    <row r="45" spans="1:18" ht="12.75">
      <c r="A45" s="28"/>
      <c r="B45" s="14"/>
      <c r="C45" s="37" t="s">
        <v>28</v>
      </c>
      <c r="D45" s="38">
        <f>D46-D44</f>
        <v>11</v>
      </c>
      <c r="E45" s="16"/>
      <c r="F45" s="29"/>
      <c r="G45" s="18"/>
      <c r="H45" s="19"/>
      <c r="I45" s="19"/>
      <c r="J45" s="15" t="s">
        <v>29</v>
      </c>
      <c r="K45" s="42" t="s">
        <v>13</v>
      </c>
      <c r="L45" s="21"/>
      <c r="M45" s="22"/>
      <c r="N45" s="22"/>
      <c r="O45" s="41"/>
      <c r="P45" s="23"/>
      <c r="R45" s="12">
        <f>IF($L45="Scheduled",1,"")</f>
      </c>
    </row>
    <row r="46" spans="1:29" ht="12.75">
      <c r="A46" s="28"/>
      <c r="B46" s="14"/>
      <c r="C46" s="37" t="s">
        <v>30</v>
      </c>
      <c r="D46" s="43">
        <f>COUNT(A5:A43)</f>
        <v>24</v>
      </c>
      <c r="E46" s="16"/>
      <c r="F46" s="29"/>
      <c r="G46" s="18"/>
      <c r="H46" s="19"/>
      <c r="I46" s="19"/>
      <c r="J46" s="44">
        <f>SUM(J5:J43)/2</f>
        <v>19.883333333185874</v>
      </c>
      <c r="K46" s="44">
        <f>SUM(K5:K43)/2</f>
        <v>19.883333333185874</v>
      </c>
      <c r="L46" s="21"/>
      <c r="M46" s="22"/>
      <c r="N46" s="22"/>
      <c r="O46" s="41"/>
      <c r="P46" s="23"/>
      <c r="Q46" s="43">
        <f>SUM(Q1:Q43)</f>
        <v>13</v>
      </c>
      <c r="R46" s="43">
        <f>SUM(R1:R43)</f>
        <v>11</v>
      </c>
      <c r="S46" s="43">
        <f>SUM(S1:S43)</f>
        <v>3</v>
      </c>
      <c r="T46" s="43">
        <f>SUM(T1:T43)</f>
        <v>25</v>
      </c>
      <c r="AA46" s="30"/>
      <c r="AB46" s="30"/>
      <c r="AC46" s="30"/>
    </row>
    <row r="47" spans="1:19" ht="12.75">
      <c r="A47" s="28"/>
      <c r="B47" s="14"/>
      <c r="C47" s="37"/>
      <c r="D47" s="15"/>
      <c r="E47" s="16"/>
      <c r="F47" s="29"/>
      <c r="G47" s="18"/>
      <c r="H47" s="19"/>
      <c r="I47" s="19"/>
      <c r="J47" s="15"/>
      <c r="K47" s="20"/>
      <c r="L47" s="21"/>
      <c r="M47" s="22"/>
      <c r="N47" s="22"/>
      <c r="O47" s="21"/>
      <c r="P47" s="23"/>
      <c r="Q47" s="12" t="s">
        <v>31</v>
      </c>
      <c r="R47" s="45" t="s">
        <v>21</v>
      </c>
      <c r="S47" s="12" t="s">
        <v>32</v>
      </c>
    </row>
    <row r="48" spans="1:26" ht="12.75">
      <c r="A48" s="28"/>
      <c r="B48" s="14"/>
      <c r="C48" s="37" t="s">
        <v>33</v>
      </c>
      <c r="D48" s="15">
        <f>SUM(D5:D43)/2</f>
        <v>1533.116666666756</v>
      </c>
      <c r="E48" s="46">
        <f>D48/24</f>
        <v>63.87986111111483</v>
      </c>
      <c r="F48" s="47" t="s">
        <v>34</v>
      </c>
      <c r="G48" s="18"/>
      <c r="H48" s="19"/>
      <c r="I48" s="19"/>
      <c r="J48" s="15"/>
      <c r="K48" s="20"/>
      <c r="L48" s="21"/>
      <c r="M48" s="22"/>
      <c r="N48" s="22"/>
      <c r="O48" s="21"/>
      <c r="P48" s="23"/>
      <c r="Q48" s="12">
        <f>IF($O50="Store Lost",1,"")</f>
      </c>
      <c r="T48" s="48"/>
      <c r="U48" s="30"/>
      <c r="V48" s="30"/>
      <c r="W48" s="30"/>
      <c r="X48" s="30"/>
      <c r="Y48" s="30"/>
      <c r="Z48" s="30"/>
    </row>
    <row r="49" spans="1:17" ht="12.75">
      <c r="A49" s="28"/>
      <c r="B49" s="14"/>
      <c r="C49" s="37" t="s">
        <v>35</v>
      </c>
      <c r="D49" s="15">
        <f>J46</f>
        <v>19.883333333185874</v>
      </c>
      <c r="E49" s="16" t="s">
        <v>36</v>
      </c>
      <c r="F49" s="29"/>
      <c r="G49" s="18"/>
      <c r="H49" s="19"/>
      <c r="I49" s="19"/>
      <c r="J49" s="15"/>
      <c r="K49" s="20"/>
      <c r="L49" s="21"/>
      <c r="M49" s="22"/>
      <c r="N49" s="22"/>
      <c r="O49" s="21"/>
      <c r="P49" s="23"/>
      <c r="Q49" s="12">
        <f>IF($O51="Store Lost",1,"")</f>
      </c>
    </row>
    <row r="50" spans="1:17" ht="12.75">
      <c r="A50" s="28"/>
      <c r="B50" s="14"/>
      <c r="C50" s="37" t="s">
        <v>37</v>
      </c>
      <c r="D50" s="43">
        <f>SUM(D48:D49)</f>
        <v>1552.9999999999418</v>
      </c>
      <c r="E50" s="46"/>
      <c r="F50" s="29"/>
      <c r="G50" s="18"/>
      <c r="H50" s="19"/>
      <c r="I50" s="19"/>
      <c r="J50" s="15"/>
      <c r="K50" s="20"/>
      <c r="L50" s="21"/>
      <c r="M50" s="22"/>
      <c r="N50" s="22"/>
      <c r="O50" s="21"/>
      <c r="P50" s="23"/>
      <c r="Q50" s="12" t="e">
        <f>IF(#REF!="Store Lost",1,"")</f>
        <v>#REF!</v>
      </c>
    </row>
    <row r="51" spans="1:18" ht="12.75">
      <c r="A51" s="28"/>
      <c r="B51" s="14"/>
      <c r="C51" s="37"/>
      <c r="D51" s="49"/>
      <c r="E51" s="50"/>
      <c r="F51" s="29"/>
      <c r="G51" s="18"/>
      <c r="H51" s="15"/>
      <c r="I51" s="19"/>
      <c r="J51" s="15"/>
      <c r="K51" s="20"/>
      <c r="L51" s="21"/>
      <c r="M51" s="22"/>
      <c r="N51" s="22"/>
      <c r="O51" s="21"/>
      <c r="P51" s="23"/>
      <c r="Q51" s="51">
        <f>Q46+R46</f>
        <v>24</v>
      </c>
      <c r="R51" s="12">
        <f>IF($P52="Store Lost",1,"")</f>
      </c>
    </row>
    <row r="52" spans="1:18" ht="12.75">
      <c r="A52" s="28"/>
      <c r="B52" s="14"/>
      <c r="C52" s="37" t="s">
        <v>38</v>
      </c>
      <c r="D52" s="52">
        <f>IF(D44,D48/D44,D48)</f>
        <v>117.93205128205815</v>
      </c>
      <c r="E52" s="16"/>
      <c r="F52" s="29"/>
      <c r="G52" s="18"/>
      <c r="J52" s="7"/>
      <c r="K52" s="53"/>
      <c r="Q52" s="23"/>
      <c r="R52" s="12">
        <f>IF($P54="Store Lost",1,"")</f>
      </c>
    </row>
    <row r="53" spans="1:18" ht="12.75">
      <c r="A53" s="28"/>
      <c r="B53" s="14"/>
      <c r="C53" s="37" t="s">
        <v>39</v>
      </c>
      <c r="D53" s="49">
        <f>IF(D44,24/D52,0)</f>
        <v>0.2035070172959104</v>
      </c>
      <c r="E53" s="54"/>
      <c r="F53" s="55"/>
      <c r="G53" s="56"/>
      <c r="K53" s="53"/>
      <c r="Q53" s="23"/>
      <c r="R53" s="12" t="e">
        <f>NA()</f>
        <v>#N/A</v>
      </c>
    </row>
    <row r="54" spans="1:18" ht="27" customHeight="1">
      <c r="A54" s="28"/>
      <c r="B54" s="14"/>
      <c r="C54" s="37" t="s">
        <v>40</v>
      </c>
      <c r="D54" s="57">
        <f>D48/D50</f>
        <v>0.9871968233527453</v>
      </c>
      <c r="E54" s="58"/>
      <c r="F54" s="29"/>
      <c r="G54" s="18"/>
      <c r="K54" s="53"/>
      <c r="Q54" s="23"/>
      <c r="R54" s="12" t="e">
        <f>NA()</f>
        <v>#N/A</v>
      </c>
    </row>
    <row r="55" spans="1:18" ht="12.75">
      <c r="A55" s="28"/>
      <c r="B55" s="14"/>
      <c r="C55" s="14"/>
      <c r="D55" s="15"/>
      <c r="E55" s="16"/>
      <c r="F55" s="29"/>
      <c r="G55" s="18"/>
      <c r="K55" s="53"/>
      <c r="Q55" s="23"/>
      <c r="R55" s="12">
        <f aca="true" t="shared" si="9" ref="R55:R64">IF($P57="Store Lost",1,"")</f>
      </c>
    </row>
    <row r="56" spans="1:29" s="59" customFormat="1" ht="12.75">
      <c r="A56" s="28"/>
      <c r="B56" s="14"/>
      <c r="C56" s="14"/>
      <c r="D56" s="15"/>
      <c r="E56" s="16"/>
      <c r="F56" s="29"/>
      <c r="G56" s="18"/>
      <c r="H56" s="7"/>
      <c r="I56" s="7"/>
      <c r="J56" s="3"/>
      <c r="K56" s="53"/>
      <c r="L56" s="9"/>
      <c r="M56" s="10"/>
      <c r="N56" s="10"/>
      <c r="O56" s="9"/>
      <c r="P56" s="11"/>
      <c r="Q56" s="23"/>
      <c r="R56" s="12">
        <f t="shared" si="9"/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18" ht="12.75">
      <c r="A57" s="28"/>
      <c r="B57" s="14"/>
      <c r="C57" s="14"/>
      <c r="D57" s="15"/>
      <c r="E57" s="16"/>
      <c r="F57" s="29"/>
      <c r="G57" s="18"/>
      <c r="K57" s="53"/>
      <c r="Q57" s="23"/>
      <c r="R57" s="12">
        <f t="shared" si="9"/>
      </c>
    </row>
    <row r="58" spans="1:18" ht="12.75">
      <c r="A58" s="28"/>
      <c r="B58" s="14"/>
      <c r="C58" s="14"/>
      <c r="D58" s="15"/>
      <c r="E58" s="16"/>
      <c r="F58" s="29"/>
      <c r="G58" s="18"/>
      <c r="K58" s="53"/>
      <c r="Q58" s="23"/>
      <c r="R58" s="12">
        <f t="shared" si="9"/>
      </c>
    </row>
    <row r="59" spans="1:18" ht="12.75">
      <c r="A59" s="28"/>
      <c r="B59" s="14"/>
      <c r="C59" s="14"/>
      <c r="D59" s="15"/>
      <c r="E59" s="16"/>
      <c r="F59" s="29"/>
      <c r="G59" s="18"/>
      <c r="K59" s="53"/>
      <c r="Q59" s="23"/>
      <c r="R59" s="12">
        <f t="shared" si="9"/>
      </c>
    </row>
    <row r="60" spans="1:18" ht="12.75">
      <c r="A60" s="28"/>
      <c r="B60" s="14"/>
      <c r="C60" s="14"/>
      <c r="D60" s="15"/>
      <c r="E60" s="16"/>
      <c r="F60" s="29"/>
      <c r="G60" s="18"/>
      <c r="K60" s="53"/>
      <c r="Q60" s="23"/>
      <c r="R60" s="12">
        <f t="shared" si="9"/>
      </c>
    </row>
    <row r="61" spans="1:18" ht="12.75">
      <c r="A61" s="28"/>
      <c r="B61" s="14"/>
      <c r="C61" s="14"/>
      <c r="D61" s="15"/>
      <c r="E61" s="16"/>
      <c r="F61" s="29"/>
      <c r="G61" s="18"/>
      <c r="K61" s="53"/>
      <c r="Q61" s="23"/>
      <c r="R61" s="12">
        <f t="shared" si="9"/>
      </c>
    </row>
    <row r="62" spans="1:18" ht="12.75">
      <c r="A62" s="28"/>
      <c r="B62" s="14"/>
      <c r="C62" s="14"/>
      <c r="D62" s="15"/>
      <c r="E62" s="16"/>
      <c r="F62" s="29"/>
      <c r="G62" s="18"/>
      <c r="K62" s="53"/>
      <c r="Q62" s="23"/>
      <c r="R62" s="12">
        <f t="shared" si="9"/>
      </c>
    </row>
    <row r="63" spans="1:18" ht="12.75">
      <c r="A63" s="28"/>
      <c r="B63" s="14"/>
      <c r="C63" s="14"/>
      <c r="D63" s="15"/>
      <c r="E63" s="16"/>
      <c r="F63" s="29"/>
      <c r="G63" s="18"/>
      <c r="K63" s="53"/>
      <c r="Q63" s="23"/>
      <c r="R63" s="12">
        <f t="shared" si="9"/>
      </c>
    </row>
    <row r="64" spans="1:18" ht="12.75">
      <c r="A64" s="28"/>
      <c r="B64" s="14"/>
      <c r="C64" s="14"/>
      <c r="D64" s="15"/>
      <c r="E64" s="16"/>
      <c r="F64" s="29"/>
      <c r="G64" s="18"/>
      <c r="K64" s="53"/>
      <c r="Q64" s="23"/>
      <c r="R64" s="12">
        <f t="shared" si="9"/>
      </c>
    </row>
    <row r="65" spans="1:29" s="60" customFormat="1" ht="12.75">
      <c r="A65" s="28"/>
      <c r="B65" s="14"/>
      <c r="C65" s="14"/>
      <c r="D65" s="15"/>
      <c r="E65" s="16"/>
      <c r="F65" s="29"/>
      <c r="G65" s="18"/>
      <c r="H65" s="7"/>
      <c r="I65" s="7"/>
      <c r="J65" s="3"/>
      <c r="K65" s="53"/>
      <c r="L65" s="9"/>
      <c r="M65" s="10"/>
      <c r="N65" s="10"/>
      <c r="O65" s="9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s="30" customFormat="1" ht="12.75">
      <c r="A66" s="28"/>
      <c r="B66" s="14"/>
      <c r="C66" s="14"/>
      <c r="D66" s="15"/>
      <c r="E66" s="16"/>
      <c r="F66" s="29"/>
      <c r="G66" s="18"/>
      <c r="H66" s="7"/>
      <c r="I66" s="7"/>
      <c r="J66" s="3"/>
      <c r="K66" s="53"/>
      <c r="L66" s="9"/>
      <c r="M66" s="10"/>
      <c r="N66" s="10"/>
      <c r="O66" s="9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59"/>
      <c r="AB66" s="59"/>
      <c r="AC66" s="59"/>
    </row>
    <row r="67" spans="1:16" ht="12.75">
      <c r="A67" s="28"/>
      <c r="B67" s="14"/>
      <c r="C67" s="14"/>
      <c r="D67" s="15"/>
      <c r="E67" s="16"/>
      <c r="F67" s="29"/>
      <c r="G67" s="18"/>
      <c r="H67" s="19"/>
      <c r="I67" s="19"/>
      <c r="J67" s="15"/>
      <c r="K67" s="20"/>
      <c r="L67" s="21"/>
      <c r="M67" s="22"/>
      <c r="N67" s="22"/>
      <c r="O67" s="21"/>
      <c r="P67" s="23"/>
    </row>
    <row r="68" spans="1:26" ht="12.75">
      <c r="A68" s="28"/>
      <c r="B68" s="14"/>
      <c r="C68" s="14"/>
      <c r="E68" s="16"/>
      <c r="F68" s="29"/>
      <c r="G68" s="18"/>
      <c r="H68" s="19"/>
      <c r="I68" s="19"/>
      <c r="L68" s="21"/>
      <c r="M68" s="22"/>
      <c r="N68" s="22"/>
      <c r="O68" s="21"/>
      <c r="P68" s="23"/>
      <c r="U68" s="59"/>
      <c r="V68" s="59"/>
      <c r="W68" s="59"/>
      <c r="X68" s="59"/>
      <c r="Y68" s="59"/>
      <c r="Z68" s="59"/>
    </row>
    <row r="69" spans="1:16" ht="12.75">
      <c r="A69" s="28"/>
      <c r="B69" s="14"/>
      <c r="C69" s="14"/>
      <c r="E69" s="16"/>
      <c r="F69" s="29"/>
      <c r="G69" s="18"/>
      <c r="H69" s="19"/>
      <c r="I69" s="19"/>
      <c r="L69" s="21"/>
      <c r="M69" s="22"/>
      <c r="N69" s="22"/>
      <c r="O69" s="21"/>
      <c r="P69" s="23"/>
    </row>
    <row r="70" spans="1:16" ht="12.75">
      <c r="A70" s="28"/>
      <c r="B70" s="14"/>
      <c r="C70" s="14"/>
      <c r="E70" s="16"/>
      <c r="F70" s="29"/>
      <c r="G70" s="18"/>
      <c r="H70" s="19"/>
      <c r="I70" s="19"/>
      <c r="L70" s="21"/>
      <c r="M70" s="22"/>
      <c r="N70" s="22"/>
      <c r="O70" s="21"/>
      <c r="P70" s="23"/>
    </row>
    <row r="71" spans="1:16" ht="12.75">
      <c r="A71" s="28"/>
      <c r="B71" s="14"/>
      <c r="C71" s="14"/>
      <c r="F71" s="29"/>
      <c r="G71" s="18"/>
      <c r="H71" s="19"/>
      <c r="I71" s="19"/>
      <c r="L71" s="21"/>
      <c r="M71" s="22"/>
      <c r="N71" s="22"/>
      <c r="O71" s="21"/>
      <c r="P71" s="23"/>
    </row>
    <row r="72" spans="1:20" ht="12.75">
      <c r="A72" s="28"/>
      <c r="B72" s="14"/>
      <c r="C72" s="14"/>
      <c r="F72" s="29"/>
      <c r="G72" s="18"/>
      <c r="H72" s="19"/>
      <c r="I72" s="19"/>
      <c r="L72" s="21"/>
      <c r="M72" s="22"/>
      <c r="N72" s="22"/>
      <c r="O72" s="21"/>
      <c r="P72" s="23"/>
      <c r="R72" s="59"/>
      <c r="S72" s="59"/>
      <c r="T72" s="59"/>
    </row>
    <row r="73" spans="2:16" ht="12.75">
      <c r="B73" s="14"/>
      <c r="C73" s="14"/>
      <c r="F73" s="29"/>
      <c r="G73" s="18"/>
      <c r="H73" s="19"/>
      <c r="I73" s="19"/>
      <c r="L73" s="21"/>
      <c r="M73" s="22"/>
      <c r="N73" s="22"/>
      <c r="O73" s="21"/>
      <c r="P73" s="23"/>
    </row>
    <row r="74" spans="2:17" ht="12.75">
      <c r="B74" s="14"/>
      <c r="C74" s="14"/>
      <c r="F74" s="29"/>
      <c r="G74" s="18"/>
      <c r="H74" s="19"/>
      <c r="I74" s="19"/>
      <c r="L74" s="21"/>
      <c r="M74" s="22"/>
      <c r="N74" s="22"/>
      <c r="O74" s="21"/>
      <c r="P74" s="23"/>
      <c r="Q74" s="12">
        <f aca="true" t="shared" si="10" ref="Q74:Q105">IF($O76="Store Lost",1,"")</f>
      </c>
    </row>
    <row r="75" spans="2:29" ht="12.75">
      <c r="B75" s="14"/>
      <c r="C75" s="14"/>
      <c r="F75" s="29"/>
      <c r="G75" s="18"/>
      <c r="H75" s="19"/>
      <c r="I75" s="19"/>
      <c r="L75" s="21"/>
      <c r="M75" s="22"/>
      <c r="N75" s="22"/>
      <c r="O75" s="21"/>
      <c r="P75" s="23"/>
      <c r="Q75" s="12">
        <f t="shared" si="10"/>
      </c>
      <c r="AA75" s="60"/>
      <c r="AB75" s="60"/>
      <c r="AC75" s="60"/>
    </row>
    <row r="76" spans="2:29" ht="12.75">
      <c r="B76" s="14"/>
      <c r="C76" s="14"/>
      <c r="Q76" s="12">
        <f t="shared" si="10"/>
      </c>
      <c r="AA76" s="30"/>
      <c r="AB76" s="30"/>
      <c r="AC76" s="30"/>
    </row>
    <row r="77" spans="17:26" ht="12.75">
      <c r="Q77" s="12">
        <f t="shared" si="10"/>
      </c>
      <c r="U77" s="60"/>
      <c r="V77" s="60"/>
      <c r="W77" s="60"/>
      <c r="X77" s="60"/>
      <c r="Y77" s="60"/>
      <c r="Z77" s="60"/>
    </row>
    <row r="78" spans="17:26" ht="12.75">
      <c r="Q78" s="12">
        <f t="shared" si="10"/>
      </c>
      <c r="U78" s="30"/>
      <c r="V78" s="30"/>
      <c r="W78" s="30"/>
      <c r="X78" s="30"/>
      <c r="Y78" s="30"/>
      <c r="Z78" s="30"/>
    </row>
    <row r="79" spans="1:29" s="59" customFormat="1" ht="12.75">
      <c r="A79" s="1"/>
      <c r="B79" s="2"/>
      <c r="C79" s="2"/>
      <c r="D79" s="3"/>
      <c r="E79" s="4"/>
      <c r="F79" s="5"/>
      <c r="G79" s="6"/>
      <c r="H79" s="7"/>
      <c r="I79" s="7"/>
      <c r="J79" s="3"/>
      <c r="K79" s="8"/>
      <c r="L79" s="9"/>
      <c r="M79" s="10"/>
      <c r="N79" s="10"/>
      <c r="O79" s="9"/>
      <c r="P79" s="11"/>
      <c r="Q79" s="12">
        <f t="shared" si="10"/>
      </c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ht="12.75">
      <c r="Q80" s="12">
        <f t="shared" si="10"/>
      </c>
    </row>
    <row r="81" spans="17:20" ht="12.75">
      <c r="Q81" s="12">
        <f t="shared" si="10"/>
      </c>
      <c r="R81" s="60"/>
      <c r="S81" s="60"/>
      <c r="T81" s="60"/>
    </row>
    <row r="82" spans="17:20" ht="12.75">
      <c r="Q82" s="12">
        <f t="shared" si="10"/>
      </c>
      <c r="R82" s="30"/>
      <c r="S82" s="30"/>
      <c r="T82" s="30"/>
    </row>
    <row r="83" ht="12.75">
      <c r="Q83" s="12">
        <f t="shared" si="10"/>
      </c>
    </row>
    <row r="84" ht="12.75">
      <c r="Q84" s="12">
        <f t="shared" si="10"/>
      </c>
    </row>
    <row r="85" ht="12.75">
      <c r="Q85" s="12">
        <f t="shared" si="10"/>
      </c>
    </row>
    <row r="86" ht="12.75">
      <c r="Q86" s="12">
        <f t="shared" si="10"/>
      </c>
    </row>
    <row r="87" ht="12.75">
      <c r="Q87" s="12">
        <f t="shared" si="10"/>
      </c>
    </row>
    <row r="88" ht="12.75">
      <c r="Q88" s="12">
        <f t="shared" si="10"/>
      </c>
    </row>
    <row r="89" spans="17:29" ht="12.75">
      <c r="Q89" s="12">
        <f t="shared" si="10"/>
      </c>
      <c r="AA89" s="59"/>
      <c r="AB89" s="59"/>
      <c r="AC89" s="59"/>
    </row>
    <row r="90" ht="12.75">
      <c r="Q90" s="12">
        <f t="shared" si="10"/>
      </c>
    </row>
    <row r="91" spans="17:26" ht="12.75">
      <c r="Q91" s="12">
        <f t="shared" si="10"/>
      </c>
      <c r="U91" s="59"/>
      <c r="V91" s="59"/>
      <c r="W91" s="59"/>
      <c r="X91" s="59"/>
      <c r="Y91" s="59"/>
      <c r="Z91" s="59"/>
    </row>
    <row r="92" spans="1:29" s="59" customFormat="1" ht="12.75">
      <c r="A92" s="1"/>
      <c r="B92" s="2"/>
      <c r="C92" s="2"/>
      <c r="D92" s="3"/>
      <c r="E92" s="4"/>
      <c r="F92" s="5"/>
      <c r="G92" s="6"/>
      <c r="H92" s="7"/>
      <c r="I92" s="7"/>
      <c r="J92" s="3"/>
      <c r="K92" s="8"/>
      <c r="L92" s="9"/>
      <c r="M92" s="10"/>
      <c r="N92" s="10"/>
      <c r="O92" s="9"/>
      <c r="P92" s="11"/>
      <c r="Q92" s="12">
        <f t="shared" si="10"/>
      </c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s="30" customFormat="1" ht="12.75">
      <c r="A93" s="1"/>
      <c r="B93" s="2"/>
      <c r="C93" s="2"/>
      <c r="D93" s="3"/>
      <c r="E93" s="4"/>
      <c r="F93" s="5"/>
      <c r="G93" s="6"/>
      <c r="H93" s="7"/>
      <c r="I93" s="7"/>
      <c r="J93" s="3"/>
      <c r="K93" s="8"/>
      <c r="L93" s="9"/>
      <c r="M93" s="10"/>
      <c r="N93" s="10"/>
      <c r="O93" s="9"/>
      <c r="P93" s="11"/>
      <c r="Q93" s="12">
        <f t="shared" si="10"/>
      </c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 s="59" customFormat="1" ht="12.75">
      <c r="A94" s="1"/>
      <c r="B94" s="2"/>
      <c r="C94" s="2"/>
      <c r="D94" s="3"/>
      <c r="E94" s="4"/>
      <c r="F94" s="5"/>
      <c r="G94" s="6"/>
      <c r="H94" s="7"/>
      <c r="I94" s="7"/>
      <c r="J94" s="3"/>
      <c r="K94" s="8"/>
      <c r="L94" s="9"/>
      <c r="M94" s="10"/>
      <c r="N94" s="10"/>
      <c r="O94" s="9"/>
      <c r="P94" s="11"/>
      <c r="Q94" s="12">
        <f t="shared" si="10"/>
      </c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17:20" ht="12.75">
      <c r="Q95" s="12">
        <f t="shared" si="10"/>
      </c>
      <c r="R95" s="59"/>
      <c r="S95" s="59"/>
      <c r="T95" s="59"/>
    </row>
    <row r="96" ht="12.75">
      <c r="Q96" s="12">
        <f t="shared" si="10"/>
      </c>
    </row>
    <row r="97" ht="12.75">
      <c r="Q97" s="12">
        <f t="shared" si="10"/>
      </c>
    </row>
    <row r="98" ht="12.75">
      <c r="Q98" s="12">
        <f t="shared" si="10"/>
      </c>
    </row>
    <row r="99" ht="12.75">
      <c r="Q99" s="12">
        <f t="shared" si="10"/>
      </c>
    </row>
    <row r="100" ht="12.75">
      <c r="Q100" s="12">
        <f t="shared" si="10"/>
      </c>
    </row>
    <row r="101" ht="12.75">
      <c r="Q101" s="12">
        <f t="shared" si="10"/>
      </c>
    </row>
    <row r="102" spans="17:29" ht="12.75">
      <c r="Q102" s="12">
        <f t="shared" si="10"/>
      </c>
      <c r="AA102" s="59"/>
      <c r="AB102" s="59"/>
      <c r="AC102" s="59"/>
    </row>
    <row r="103" spans="17:29" ht="12.75">
      <c r="Q103" s="12">
        <f t="shared" si="10"/>
      </c>
      <c r="AA103" s="30"/>
      <c r="AB103" s="30"/>
      <c r="AC103" s="30"/>
    </row>
    <row r="104" spans="17:29" ht="12.75">
      <c r="Q104" s="12">
        <f t="shared" si="10"/>
      </c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17:26" ht="12.75">
      <c r="Q105" s="12">
        <f t="shared" si="10"/>
      </c>
      <c r="U105" s="30"/>
      <c r="V105" s="30"/>
      <c r="W105" s="30"/>
      <c r="X105" s="30"/>
      <c r="Y105" s="30"/>
      <c r="Z105" s="30"/>
    </row>
    <row r="106" spans="17:26" ht="12.75">
      <c r="Q106" s="12">
        <f aca="true" t="shared" si="11" ref="Q106:Q131">IF($O108="Store Lost",1,"")</f>
      </c>
      <c r="U106" s="59"/>
      <c r="V106" s="59"/>
      <c r="W106" s="59"/>
      <c r="X106" s="59"/>
      <c r="Y106" s="59"/>
      <c r="Z106" s="59"/>
    </row>
    <row r="107" ht="12.75">
      <c r="Q107" s="12">
        <f t="shared" si="11"/>
      </c>
    </row>
    <row r="108" spans="17:20" ht="12.75">
      <c r="Q108" s="12">
        <f t="shared" si="11"/>
      </c>
      <c r="R108" s="59"/>
      <c r="S108" s="59"/>
      <c r="T108" s="59"/>
    </row>
    <row r="109" spans="17:20" ht="12.75">
      <c r="Q109" s="12">
        <f t="shared" si="11"/>
      </c>
      <c r="R109" s="30"/>
      <c r="S109" s="30"/>
      <c r="T109" s="30"/>
    </row>
    <row r="110" spans="17:20" ht="12.75">
      <c r="Q110" s="12">
        <f t="shared" si="11"/>
      </c>
      <c r="R110" s="59"/>
      <c r="S110" s="59"/>
      <c r="T110" s="59"/>
    </row>
    <row r="111" ht="12.75">
      <c r="Q111" s="12">
        <f t="shared" si="11"/>
      </c>
    </row>
    <row r="112" ht="12.75">
      <c r="Q112" s="12">
        <f t="shared" si="11"/>
      </c>
    </row>
    <row r="113" ht="12.75">
      <c r="Q113" s="12">
        <f t="shared" si="11"/>
      </c>
    </row>
    <row r="114" ht="12.75">
      <c r="Q114" s="12">
        <f t="shared" si="11"/>
      </c>
    </row>
    <row r="115" spans="1:29" s="59" customFormat="1" ht="12.75">
      <c r="A115" s="1"/>
      <c r="B115" s="2"/>
      <c r="C115" s="2"/>
      <c r="D115" s="3"/>
      <c r="E115" s="4"/>
      <c r="F115" s="5"/>
      <c r="G115" s="6"/>
      <c r="H115" s="7"/>
      <c r="I115" s="7"/>
      <c r="J115" s="3"/>
      <c r="K115" s="8"/>
      <c r="L115" s="9"/>
      <c r="M115" s="10"/>
      <c r="N115" s="10"/>
      <c r="O115" s="9"/>
      <c r="P115" s="11"/>
      <c r="Q115" s="12">
        <f t="shared" si="11"/>
      </c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ht="12.75">
      <c r="Q116" s="12">
        <f t="shared" si="11"/>
      </c>
    </row>
    <row r="117" ht="12.75">
      <c r="Q117" s="12">
        <f t="shared" si="11"/>
      </c>
    </row>
    <row r="118" ht="12.75">
      <c r="Q118" s="12">
        <f t="shared" si="11"/>
      </c>
    </row>
    <row r="119" ht="12.75">
      <c r="Q119" s="12">
        <f t="shared" si="11"/>
      </c>
    </row>
    <row r="120" ht="12.75">
      <c r="Q120" s="12">
        <f t="shared" si="11"/>
      </c>
    </row>
    <row r="121" ht="12.75">
      <c r="Q121" s="12">
        <f t="shared" si="11"/>
      </c>
    </row>
    <row r="122" ht="12.75">
      <c r="Q122" s="12">
        <f t="shared" si="11"/>
      </c>
    </row>
    <row r="123" ht="12.75">
      <c r="Q123" s="12">
        <f t="shared" si="11"/>
      </c>
    </row>
    <row r="124" ht="12.75">
      <c r="Q124" s="12">
        <f t="shared" si="11"/>
      </c>
    </row>
    <row r="125" spans="17:29" ht="12.75">
      <c r="Q125" s="12">
        <f t="shared" si="11"/>
      </c>
      <c r="AA125" s="59"/>
      <c r="AB125" s="59"/>
      <c r="AC125" s="59"/>
    </row>
    <row r="126" ht="12.75">
      <c r="Q126" s="12">
        <f t="shared" si="11"/>
      </c>
    </row>
    <row r="127" spans="17:26" ht="12.75">
      <c r="Q127" s="12">
        <f t="shared" si="11"/>
      </c>
      <c r="U127" s="59"/>
      <c r="V127" s="59"/>
      <c r="W127" s="59"/>
      <c r="X127" s="59"/>
      <c r="Y127" s="59"/>
      <c r="Z127" s="59"/>
    </row>
    <row r="128" ht="12.75">
      <c r="Q128" s="12">
        <f t="shared" si="11"/>
      </c>
    </row>
    <row r="129" ht="12.75">
      <c r="Q129" s="12">
        <f t="shared" si="11"/>
      </c>
    </row>
    <row r="130" ht="12.75">
      <c r="Q130" s="12">
        <f t="shared" si="11"/>
      </c>
    </row>
    <row r="131" spans="17:20" ht="12.75">
      <c r="Q131" s="12">
        <f t="shared" si="11"/>
      </c>
      <c r="R131" s="59"/>
      <c r="S131" s="59"/>
      <c r="T131" s="59"/>
    </row>
    <row r="135" ht="12.75">
      <c r="Q135" s="12">
        <f>COUNT(Q5:Q131)</f>
        <v>15</v>
      </c>
    </row>
  </sheetData>
  <sheetProtection/>
  <mergeCells count="1">
    <mergeCell ref="A2:I2"/>
  </mergeCells>
  <printOptions/>
  <pageMargins left="0" right="0" top="0" bottom="0.15" header="0.25" footer="0.15"/>
  <pageSetup fitToHeight="0" fitToWidth="1" horizontalDpi="300" verticalDpi="300" orientation="landscape" paperSize="5" scale="70" r:id="rId2"/>
  <headerFooter alignWithMargins="0">
    <oddFooter>&amp;RUpdated &amp;D</oddFooter>
  </headerFooter>
  <rowBreaks count="1" manualBreakCount="1">
    <brk id="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44"/>
  <sheetViews>
    <sheetView zoomScale="75" zoomScaleNormal="75" zoomScalePageLayoutView="0" workbookViewId="0" topLeftCell="A1">
      <selection activeCell="K29" sqref="K29"/>
    </sheetView>
  </sheetViews>
  <sheetFormatPr defaultColWidth="9.140625" defaultRowHeight="12.75"/>
  <cols>
    <col min="1" max="1" width="21.28125" style="0" customWidth="1"/>
    <col min="2" max="2" width="18.8515625" style="0" customWidth="1"/>
    <col min="3" max="8" width="9.8515625" style="0" customWidth="1"/>
    <col min="9" max="10" width="11.57421875" style="0" customWidth="1"/>
    <col min="11" max="12" width="10.28125" style="0" customWidth="1"/>
    <col min="13" max="14" width="22.28125" style="0" customWidth="1"/>
    <col min="15" max="15" width="12.00390625" style="0" customWidth="1"/>
    <col min="16" max="17" width="22.28125" style="0" customWidth="1"/>
    <col min="18" max="18" width="12.00390625" style="0" customWidth="1"/>
    <col min="19" max="20" width="22.28125" style="0" customWidth="1"/>
    <col min="21" max="21" width="4.00390625" style="0" customWidth="1"/>
    <col min="22" max="23" width="22.28125" style="0" customWidth="1"/>
    <col min="24" max="24" width="12.00390625" style="0" customWidth="1"/>
    <col min="25" max="26" width="21.140625" style="0" customWidth="1"/>
    <col min="27" max="27" width="4.00390625" style="0" customWidth="1"/>
    <col min="28" max="29" width="21.140625" style="0" bestFit="1" customWidth="1"/>
    <col min="30" max="30" width="4.421875" style="0" customWidth="1"/>
    <col min="31" max="32" width="21.140625" style="0" bestFit="1" customWidth="1"/>
    <col min="33" max="33" width="5.00390625" style="0" customWidth="1"/>
    <col min="34" max="35" width="21.140625" style="0" bestFit="1" customWidth="1"/>
    <col min="36" max="36" width="10.28125" style="0" bestFit="1" customWidth="1"/>
  </cols>
  <sheetData>
    <row r="3" spans="1:8" ht="12.75">
      <c r="A3" s="161"/>
      <c r="B3" s="96" t="s">
        <v>14</v>
      </c>
      <c r="C3" s="95"/>
      <c r="D3" s="95"/>
      <c r="E3" s="95"/>
      <c r="F3" s="95"/>
      <c r="G3" s="95"/>
      <c r="H3" s="97"/>
    </row>
    <row r="4" spans="1:8" ht="12.75">
      <c r="A4" s="96" t="s">
        <v>41</v>
      </c>
      <c r="B4" s="83" t="s">
        <v>22</v>
      </c>
      <c r="C4" s="98" t="s">
        <v>23</v>
      </c>
      <c r="D4" s="98" t="s">
        <v>68</v>
      </c>
      <c r="E4" s="98" t="s">
        <v>24</v>
      </c>
      <c r="F4" s="98" t="s">
        <v>66</v>
      </c>
      <c r="G4" s="98" t="s">
        <v>75</v>
      </c>
      <c r="H4" s="99" t="s">
        <v>60</v>
      </c>
    </row>
    <row r="5" spans="1:8" ht="12.75">
      <c r="A5" s="83" t="s">
        <v>42</v>
      </c>
      <c r="B5" s="100">
        <v>1</v>
      </c>
      <c r="C5" s="101">
        <v>0</v>
      </c>
      <c r="D5" s="101">
        <v>2</v>
      </c>
      <c r="E5" s="101">
        <v>0</v>
      </c>
      <c r="F5" s="101">
        <v>0</v>
      </c>
      <c r="G5" s="101"/>
      <c r="H5" s="102">
        <v>3</v>
      </c>
    </row>
    <row r="6" spans="1:8" ht="12.75">
      <c r="A6" s="104" t="s">
        <v>43</v>
      </c>
      <c r="B6" s="105">
        <v>5</v>
      </c>
      <c r="C6" s="74">
        <v>4</v>
      </c>
      <c r="D6" s="74">
        <v>0</v>
      </c>
      <c r="E6" s="74">
        <v>1</v>
      </c>
      <c r="F6" s="74">
        <v>2</v>
      </c>
      <c r="G6" s="74">
        <v>1</v>
      </c>
      <c r="H6" s="106">
        <v>13</v>
      </c>
    </row>
    <row r="7" spans="1:8" ht="12.75">
      <c r="A7" s="112" t="s">
        <v>67</v>
      </c>
      <c r="B7" s="154">
        <v>7.8333333331975155</v>
      </c>
      <c r="C7" s="162">
        <v>6.550000000046566</v>
      </c>
      <c r="D7" s="134">
        <v>1.21666666661622</v>
      </c>
      <c r="E7" s="134">
        <v>0.8666666666977108</v>
      </c>
      <c r="F7" s="134">
        <v>1.78333333338378</v>
      </c>
      <c r="G7" s="134">
        <v>1.6333333332440816</v>
      </c>
      <c r="H7" s="113">
        <v>19.883333333185874</v>
      </c>
    </row>
    <row r="12" ht="13.5" thickBot="1"/>
    <row r="13" spans="2:19" ht="12.75">
      <c r="B13" s="61" t="s">
        <v>23</v>
      </c>
      <c r="C13" s="62" t="s">
        <v>46</v>
      </c>
      <c r="D13" s="62" t="s">
        <v>22</v>
      </c>
      <c r="E13" s="62" t="s">
        <v>47</v>
      </c>
      <c r="F13" s="62" t="s">
        <v>48</v>
      </c>
      <c r="G13" s="62" t="s">
        <v>49</v>
      </c>
      <c r="H13" s="62" t="s">
        <v>50</v>
      </c>
      <c r="I13" s="62" t="s">
        <v>51</v>
      </c>
      <c r="J13" s="62" t="s">
        <v>52</v>
      </c>
      <c r="K13" s="62" t="s">
        <v>53</v>
      </c>
      <c r="L13" s="62" t="s">
        <v>54</v>
      </c>
      <c r="M13" s="62" t="s">
        <v>55</v>
      </c>
      <c r="N13" s="62" t="s">
        <v>56</v>
      </c>
      <c r="O13" s="62" t="s">
        <v>57</v>
      </c>
      <c r="P13" s="63" t="s">
        <v>58</v>
      </c>
      <c r="Q13" s="64" t="s">
        <v>59</v>
      </c>
      <c r="R13" s="64" t="s">
        <v>60</v>
      </c>
      <c r="S13" s="65" t="s">
        <v>61</v>
      </c>
    </row>
    <row r="15" spans="1:19" s="69" customFormat="1" ht="12.75">
      <c r="A15" s="155" t="s">
        <v>72</v>
      </c>
      <c r="B15" s="67">
        <f>IF(B17,SUM(B17/B26),"")</f>
        <v>0.004217643271118359</v>
      </c>
      <c r="C15" s="67">
        <f>IF(C17,SUM(C17/B26),"")</f>
      </c>
      <c r="D15" s="67">
        <f>IF(D17,SUM(D17/B26),"")</f>
        <v>0.0050440008584660715</v>
      </c>
      <c r="E15" s="67">
        <f>IF(E17,SUM(E17/B26),"")</f>
        <v>0.0005580596694769757</v>
      </c>
      <c r="F15" s="67">
        <f>IF(F17,SUM(F17/B26),"")</f>
        <v>0.0011483150891074352</v>
      </c>
      <c r="G15" s="67">
        <f>IF(G17,SUM(G17/B26),"")</f>
      </c>
      <c r="H15" s="67">
        <f>IF(H17,SUM(H17/B26),"")</f>
      </c>
      <c r="I15" s="67">
        <f>IF(I17,SUM(I17/B26),"")</f>
        <v>0.0007834299205513623</v>
      </c>
      <c r="J15" s="67">
        <f>IF(J17,SUM(J17/C26),"")</f>
      </c>
      <c r="K15" s="67">
        <f>IF(K17,SUM(K17/D26),"")</f>
      </c>
      <c r="L15" s="67">
        <f>IF(L17,SUM(L17/E26),"")</f>
      </c>
      <c r="M15" s="67">
        <f>IF(M17,SUM(M17/B26),"")</f>
        <v>0.0010517278385345414</v>
      </c>
      <c r="N15" s="67"/>
      <c r="O15" s="67">
        <f>IF(P17,SUM(P17/C26),"")</f>
      </c>
      <c r="P15" s="67">
        <f>IF(P17,SUM(P17/B26),"")</f>
      </c>
      <c r="Q15" s="67">
        <f>IF(Q17,SUM(Q17/B26),"")</f>
      </c>
      <c r="R15" s="67">
        <f>IF(R17,SUM(R17/B26),"")</f>
        <v>0.012803176647254746</v>
      </c>
      <c r="S15" s="68">
        <f>IF(S17,SUM(S17/L13),"")</f>
      </c>
    </row>
    <row r="16" spans="1:19" ht="12.75">
      <c r="A16" s="66" t="s">
        <v>62</v>
      </c>
      <c r="B16" s="70">
        <f>'[1]reliabilitySummary'!$B$7</f>
        <v>0.0054</v>
      </c>
      <c r="C16" s="70">
        <f>'[1]reliabilitySummary'!$B$8</f>
        <v>0.0012000000000000001</v>
      </c>
      <c r="D16" s="70">
        <f>'[1]reliabilitySummary'!$B$9</f>
        <v>0.0054</v>
      </c>
      <c r="E16" s="70">
        <f>'[1]reliabilitySummary'!$B$10</f>
        <v>0.003</v>
      </c>
      <c r="F16" s="70">
        <v>0.0028</v>
      </c>
      <c r="G16" s="70">
        <v>0.0028</v>
      </c>
      <c r="H16" s="70">
        <f>'[1]reliabilitySummary'!$B$16</f>
        <v>0.0036000000000000003</v>
      </c>
      <c r="I16" s="70">
        <f>'[1]reliabilitySummary'!$B$18</f>
        <v>0.0012000000000000001</v>
      </c>
      <c r="J16" s="70">
        <f>'[1]reliabilitySummary'!$B$19</f>
        <v>0</v>
      </c>
      <c r="K16" s="70">
        <f>'[1]reliabilitySummary'!$B$20</f>
        <v>0.0006000000000000001</v>
      </c>
      <c r="L16" s="70">
        <f>'[1]reliabilitySummary'!$B$24</f>
        <v>0.0006000000000000001</v>
      </c>
      <c r="M16" s="70">
        <f>'[1]reliabilitySummary'!$B$20</f>
        <v>0.0006000000000000001</v>
      </c>
      <c r="N16" s="70">
        <f>'[1]reliabilitySummary'!$B$26</f>
        <v>0.0006000000000000001</v>
      </c>
      <c r="O16" s="70">
        <f>'[1]reliabilitySummary'!$B$27</f>
        <v>0.0018000000000000002</v>
      </c>
      <c r="P16" s="70">
        <f>'[1]reliabilitySummary'!$B$11</f>
        <v>0.0012000000000000001</v>
      </c>
      <c r="Q16" s="70">
        <f>'[1]reliabilitySummary'!$B$28</f>
        <v>0.0006000000000000001</v>
      </c>
      <c r="R16" s="70">
        <f>SUM(B16:Q16)</f>
        <v>0.0314</v>
      </c>
      <c r="S16" s="71"/>
    </row>
    <row r="17" spans="1:19" s="69" customFormat="1" ht="12.75">
      <c r="A17" s="66" t="s">
        <v>63</v>
      </c>
      <c r="B17" s="68">
        <f>GETPIVOTDATA("Sum of System Length",$A$3,"Group","RF")</f>
        <v>6.550000000046566</v>
      </c>
      <c r="C17" s="68"/>
      <c r="D17" s="68">
        <f>GETPIVOTDATA("Sum of System Length",$A$3,"Group","PS")</f>
        <v>7.8333333331975155</v>
      </c>
      <c r="E17" s="68">
        <f>GETPIVOTDATA("Sum of System Length",$A$3,"Group","CTL")</f>
        <v>0.8666666666977108</v>
      </c>
      <c r="F17" s="68">
        <f>GETPIVOTDATA("Sum of System Length",$A$3,"Group","SI")</f>
        <v>1.78333333338378</v>
      </c>
      <c r="G17" s="68"/>
      <c r="H17" s="68"/>
      <c r="I17" s="68">
        <f>GETPIVOTDATA("Sum of System Length",$A$3,"Group","AOP")</f>
        <v>1.21666666661622</v>
      </c>
      <c r="J17" s="68"/>
      <c r="K17" s="68"/>
      <c r="M17" s="68">
        <f>GETPIVOTDATA("Sum of System Length",$A$3,"Group","ComEd")</f>
        <v>1.6333333332440816</v>
      </c>
      <c r="O17" s="68"/>
      <c r="P17" s="68"/>
      <c r="Q17" s="68"/>
      <c r="R17" s="72">
        <f>SUM(B17:Q17)</f>
        <v>19.883333333185874</v>
      </c>
      <c r="S17" s="73"/>
    </row>
    <row r="18" spans="1:18" ht="12.75">
      <c r="A18" s="75" t="s">
        <v>64</v>
      </c>
      <c r="B18">
        <f>GETPIVOTDATA("Sum - Store Lost",$A$3,"Group","RF")</f>
        <v>4</v>
      </c>
      <c r="D18">
        <f>GETPIVOTDATA("Sum - Store Lost",$A$3,"Group","PS")</f>
        <v>5</v>
      </c>
      <c r="E18">
        <f>GETPIVOTDATA("Sum - Store Lost",$A$3,"Group","CTL")</f>
        <v>1</v>
      </c>
      <c r="F18">
        <f>GETPIVOTDATA("Sum - Store Lost",$A$3,"Group","SI")</f>
        <v>2</v>
      </c>
      <c r="I18">
        <f>GETPIVOTDATA("Sum - Store Lost",$A$3,"Group","AOP")</f>
        <v>0</v>
      </c>
      <c r="M18">
        <f>GETPIVOTDATA("Sum - Store Lost",$A$3,"Group","ComEd")</f>
        <v>1</v>
      </c>
      <c r="R18" s="72">
        <f>SUM(B18:Q18)</f>
        <v>13</v>
      </c>
    </row>
    <row r="19" spans="1:18" ht="12.75">
      <c r="A19" s="75"/>
      <c r="B19" s="74"/>
      <c r="C19" s="74"/>
      <c r="D19" s="74"/>
      <c r="E19" s="74"/>
      <c r="G19" s="74"/>
      <c r="H19" s="74"/>
      <c r="L19" s="74"/>
      <c r="N19" s="74"/>
      <c r="R19" s="72"/>
    </row>
    <row r="20" spans="1:18" ht="13.5" thickBot="1">
      <c r="A20" s="75"/>
      <c r="B20" s="74"/>
      <c r="C20" s="74"/>
      <c r="D20" s="74"/>
      <c r="E20" s="74"/>
      <c r="G20" s="74"/>
      <c r="H20" s="74"/>
      <c r="L20" s="74"/>
      <c r="N20" s="74"/>
      <c r="R20" s="72"/>
    </row>
    <row r="21" spans="2:18" ht="12.75">
      <c r="B21" s="61" t="s">
        <v>23</v>
      </c>
      <c r="C21" s="62" t="s">
        <v>46</v>
      </c>
      <c r="D21" s="62" t="s">
        <v>22</v>
      </c>
      <c r="E21" s="62" t="s">
        <v>47</v>
      </c>
      <c r="F21" s="62" t="s">
        <v>48</v>
      </c>
      <c r="G21" s="62" t="s">
        <v>49</v>
      </c>
      <c r="H21" s="62" t="s">
        <v>25</v>
      </c>
      <c r="I21" s="62" t="s">
        <v>51</v>
      </c>
      <c r="J21" s="62" t="s">
        <v>52</v>
      </c>
      <c r="K21" s="62" t="s">
        <v>53</v>
      </c>
      <c r="L21" s="62" t="s">
        <v>54</v>
      </c>
      <c r="M21" s="62" t="s">
        <v>55</v>
      </c>
      <c r="N21" s="62" t="s">
        <v>56</v>
      </c>
      <c r="O21" s="62" t="s">
        <v>57</v>
      </c>
      <c r="P21" s="63" t="s">
        <v>58</v>
      </c>
      <c r="Q21" s="64" t="s">
        <v>59</v>
      </c>
      <c r="R21" s="72"/>
    </row>
    <row r="22" spans="1:18" ht="12.75">
      <c r="A22" s="155" t="s">
        <v>72</v>
      </c>
      <c r="B22" s="76">
        <f aca="true" t="shared" si="0" ref="B22:H22">B18/($B25/24)</f>
        <v>0.06261754378335704</v>
      </c>
      <c r="C22" s="114">
        <f>C18/($B25/24)</f>
        <v>0</v>
      </c>
      <c r="D22" s="77">
        <f t="shared" si="0"/>
        <v>0.07827192972919632</v>
      </c>
      <c r="E22" s="77">
        <f t="shared" si="0"/>
        <v>0.01565438594583926</v>
      </c>
      <c r="F22" s="76">
        <f t="shared" si="0"/>
        <v>0.03130877189167852</v>
      </c>
      <c r="G22" s="76">
        <f t="shared" si="0"/>
        <v>0</v>
      </c>
      <c r="H22" s="76">
        <f t="shared" si="0"/>
        <v>0</v>
      </c>
      <c r="I22" s="77">
        <f>I18/($B25/24)</f>
        <v>0</v>
      </c>
      <c r="J22" s="77">
        <f>J18/($B25/24)</f>
        <v>0</v>
      </c>
      <c r="K22" s="76">
        <f>K18/($B25/24)</f>
        <v>0</v>
      </c>
      <c r="L22" s="77"/>
      <c r="M22" s="76">
        <f aca="true" t="shared" si="1" ref="M22:R22">M18/($B25/24)</f>
        <v>0.01565438594583926</v>
      </c>
      <c r="N22" s="76">
        <f>O18/($B25/24)</f>
        <v>0</v>
      </c>
      <c r="O22" s="76" t="e">
        <f>#REF!/($B25/24)</f>
        <v>#REF!</v>
      </c>
      <c r="P22" s="76">
        <f t="shared" si="1"/>
        <v>0</v>
      </c>
      <c r="Q22" s="76">
        <f t="shared" si="1"/>
        <v>0</v>
      </c>
      <c r="R22" s="76">
        <f t="shared" si="1"/>
        <v>0.20350701729591042</v>
      </c>
    </row>
    <row r="23" spans="1:19" ht="12.75">
      <c r="A23" s="78" t="s">
        <v>62</v>
      </c>
      <c r="B23" s="79">
        <f>'[1]reliabilitySummary'!$F$7</f>
        <v>0.12</v>
      </c>
      <c r="C23" s="79">
        <f>'[1]reliabilitySummary'!$F$8</f>
        <v>0.03</v>
      </c>
      <c r="D23" s="79">
        <v>0.12</v>
      </c>
      <c r="E23" s="79">
        <v>0.05</v>
      </c>
      <c r="F23" s="79">
        <v>0.035</v>
      </c>
      <c r="G23" s="79">
        <v>0.02</v>
      </c>
      <c r="H23" s="79">
        <v>0.06</v>
      </c>
      <c r="I23" s="79">
        <v>0.02</v>
      </c>
      <c r="J23" s="80">
        <v>0</v>
      </c>
      <c r="K23" s="80">
        <v>0.01</v>
      </c>
      <c r="L23" s="80">
        <v>0.01</v>
      </c>
      <c r="M23" s="80">
        <v>0.01</v>
      </c>
      <c r="N23" s="80">
        <v>0.01</v>
      </c>
      <c r="O23" s="80">
        <v>0.02</v>
      </c>
      <c r="P23" s="80">
        <v>0.01</v>
      </c>
      <c r="Q23" s="80">
        <v>0.02</v>
      </c>
      <c r="R23" s="80">
        <f>SUM(B23:Q23)</f>
        <v>0.545</v>
      </c>
      <c r="S23" s="81"/>
    </row>
    <row r="25" spans="1:2" ht="12.75">
      <c r="A25" s="37" t="s">
        <v>33</v>
      </c>
      <c r="B25" s="69">
        <f>'Main Data'!D48</f>
        <v>1533.116666666756</v>
      </c>
    </row>
    <row r="26" spans="1:2" ht="12.75">
      <c r="A26" s="82" t="s">
        <v>37</v>
      </c>
      <c r="B26" s="80">
        <f>'Main Data'!D50</f>
        <v>1552.9999999999418</v>
      </c>
    </row>
    <row r="30" ht="12.75">
      <c r="A30" s="83"/>
    </row>
    <row r="36" ht="12.75">
      <c r="A36" s="84" t="s">
        <v>65</v>
      </c>
    </row>
    <row r="37" spans="1:9" ht="12.75">
      <c r="A37" s="83"/>
      <c r="B37" s="95"/>
      <c r="C37" s="96" t="s">
        <v>12</v>
      </c>
      <c r="D37" s="95"/>
      <c r="E37" s="95"/>
      <c r="F37" s="95"/>
      <c r="G37" s="95"/>
      <c r="H37" s="95"/>
      <c r="I37" s="97"/>
    </row>
    <row r="38" spans="1:9" ht="12.75">
      <c r="A38" s="96" t="s">
        <v>15</v>
      </c>
      <c r="B38" s="96" t="s">
        <v>41</v>
      </c>
      <c r="C38" s="83" t="s">
        <v>22</v>
      </c>
      <c r="D38" s="98" t="s">
        <v>23</v>
      </c>
      <c r="E38" s="98" t="s">
        <v>66</v>
      </c>
      <c r="F38" s="98" t="s">
        <v>24</v>
      </c>
      <c r="G38" s="98" t="s">
        <v>75</v>
      </c>
      <c r="H38" s="98" t="s">
        <v>68</v>
      </c>
      <c r="I38" s="99" t="s">
        <v>60</v>
      </c>
    </row>
    <row r="39" spans="1:9" ht="12.75">
      <c r="A39" s="83" t="s">
        <v>17</v>
      </c>
      <c r="B39" s="83" t="s">
        <v>43</v>
      </c>
      <c r="C39" s="100">
        <v>5</v>
      </c>
      <c r="D39" s="101">
        <v>4</v>
      </c>
      <c r="E39" s="101">
        <v>2</v>
      </c>
      <c r="F39" s="101">
        <v>1</v>
      </c>
      <c r="G39" s="101">
        <v>1</v>
      </c>
      <c r="H39" s="101"/>
      <c r="I39" s="102">
        <v>13</v>
      </c>
    </row>
    <row r="40" spans="1:9" ht="12.75">
      <c r="A40" s="103"/>
      <c r="B40" s="104" t="s">
        <v>42</v>
      </c>
      <c r="C40" s="105">
        <v>0</v>
      </c>
      <c r="D40" s="74">
        <v>0</v>
      </c>
      <c r="E40" s="74">
        <v>0</v>
      </c>
      <c r="F40" s="74">
        <v>0</v>
      </c>
      <c r="G40" s="74"/>
      <c r="H40" s="74"/>
      <c r="I40" s="106">
        <v>0</v>
      </c>
    </row>
    <row r="41" spans="1:9" ht="12.75">
      <c r="A41" s="83" t="s">
        <v>73</v>
      </c>
      <c r="B41" s="83" t="s">
        <v>43</v>
      </c>
      <c r="C41" s="100">
        <v>0</v>
      </c>
      <c r="D41" s="101"/>
      <c r="E41" s="101"/>
      <c r="F41" s="101"/>
      <c r="G41" s="101"/>
      <c r="H41" s="101">
        <v>0</v>
      </c>
      <c r="I41" s="102">
        <v>0</v>
      </c>
    </row>
    <row r="42" spans="1:9" ht="12.75">
      <c r="A42" s="103"/>
      <c r="B42" s="104" t="s">
        <v>42</v>
      </c>
      <c r="C42" s="105">
        <v>1</v>
      </c>
      <c r="D42" s="74"/>
      <c r="E42" s="74"/>
      <c r="F42" s="74"/>
      <c r="G42" s="74"/>
      <c r="H42" s="74">
        <v>2</v>
      </c>
      <c r="I42" s="106">
        <v>3</v>
      </c>
    </row>
    <row r="43" spans="1:9" ht="12.75">
      <c r="A43" s="83" t="s">
        <v>45</v>
      </c>
      <c r="B43" s="95"/>
      <c r="C43" s="100">
        <v>5</v>
      </c>
      <c r="D43" s="101">
        <v>4</v>
      </c>
      <c r="E43" s="101">
        <v>2</v>
      </c>
      <c r="F43" s="101">
        <v>1</v>
      </c>
      <c r="G43" s="101">
        <v>1</v>
      </c>
      <c r="H43" s="101">
        <v>0</v>
      </c>
      <c r="I43" s="102">
        <v>13</v>
      </c>
    </row>
    <row r="44" spans="1:9" ht="12.75">
      <c r="A44" s="107" t="s">
        <v>44</v>
      </c>
      <c r="B44" s="108"/>
      <c r="C44" s="109">
        <v>1</v>
      </c>
      <c r="D44" s="110">
        <v>0</v>
      </c>
      <c r="E44" s="110">
        <v>0</v>
      </c>
      <c r="F44" s="110">
        <v>0</v>
      </c>
      <c r="G44" s="110"/>
      <c r="H44" s="110">
        <v>2</v>
      </c>
      <c r="I44" s="111">
        <v>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40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60" zoomScalePageLayoutView="0" workbookViewId="0" topLeftCell="A22">
      <selection activeCell="A22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Downtime</dc:subject>
  <dc:creator>Flood, Randy J.</dc:creator>
  <cp:keywords/>
  <dc:description/>
  <cp:lastModifiedBy>Felix</cp:lastModifiedBy>
  <cp:lastPrinted>2015-12-22T14:06:36Z</cp:lastPrinted>
  <dcterms:created xsi:type="dcterms:W3CDTF">1998-01-15T00:06:45Z</dcterms:created>
  <dcterms:modified xsi:type="dcterms:W3CDTF">2015-12-22T15:18:56Z</dcterms:modified>
  <cp:category/>
  <cp:version/>
  <cp:contentType/>
  <cp:contentStatus/>
  <cp:revision>5</cp:revision>
</cp:coreProperties>
</file>