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1155" yWindow="705" windowWidth="9540" windowHeight="9360" tabRatio="927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5"/>
  </externalReferences>
  <definedNames>
    <definedName name="_1Excel_BuiltIn_Print_Area_1_1">'Main Data'!$A$2:$P$5</definedName>
    <definedName name="_2Excel_BuiltIn_Print_Area_1_1_1_1">'Main Data'!$A$2:$P$62</definedName>
    <definedName name="_3Excel_BuiltIn_Print_Area_4_1">'Faults Per Day'!$A$1:$W$67</definedName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_1">'Main Data'!$A$2:$P$38</definedName>
    <definedName name="Excel_BuiltIn_Print_Area_1_1_1">'Main Data'!$A$2:$P$61</definedName>
    <definedName name="Excel_BuiltIn_Print_Area_1_1_1_1">'Main Data'!$A$2:$P$47</definedName>
    <definedName name="Faults_Day_of_Delivered_Beam">'Main Data'!$D$90</definedName>
    <definedName name="Mean_Time_Between_Faults">'Main Data'!$D$89</definedName>
    <definedName name="Number_of_Fills">'Main Data'!$D$82</definedName>
    <definedName name="Number_of_Intentional_Dumps">'Main Data'!$D$81</definedName>
    <definedName name="Number_of_Lost_Fills">'Main Data'!$D$80</definedName>
    <definedName name="_xlnm.Print_Area" localSheetId="3">'Faults Per Day'!$A$1:$AC$81</definedName>
    <definedName name="_xlnm.Print_Area" localSheetId="0">'Main Data'!$A$2:$P$48</definedName>
    <definedName name="_xlnm.Print_Titles" localSheetId="0">'Main Data'!$5:$5</definedName>
    <definedName name="Refill_Time">'Main Data'!$D$1</definedName>
    <definedName name="Total_Schedule_Run_Length">'Main Data'!$D$86</definedName>
    <definedName name="Total_System_Downtime">'Main Data'!$K$82</definedName>
    <definedName name="Total_User_Beam">'Main Data'!$D$84</definedName>
    <definedName name="Total_User_Downtime">'Main Data'!$D$85</definedName>
    <definedName name="User_Beam_Days">'Main Data'!$E$84</definedName>
    <definedName name="X_ray_Availability">'Main Data'!$D$91</definedName>
  </definedNames>
  <calcPr calcId="145621"/>
  <pivotCaches>
    <pivotCache cacheId="0" r:id="rId6"/>
  </pivotCaches>
  <fileRecoveryPr repairLoad="1"/>
</workbook>
</file>

<file path=xl/calcChain.xml><?xml version="1.0" encoding="utf-8"?>
<calcChain xmlns="http://schemas.openxmlformats.org/spreadsheetml/2006/main">
  <c r="K29" i="1" l="1"/>
  <c r="J30" i="1" l="1"/>
  <c r="S34" i="1"/>
  <c r="R34" i="1"/>
  <c r="Q34" i="1"/>
  <c r="S33" i="1"/>
  <c r="R33" i="1"/>
  <c r="K33" i="1"/>
  <c r="K34" i="1" s="1"/>
  <c r="J33" i="1"/>
  <c r="J34" i="1" s="1"/>
  <c r="D33" i="1"/>
  <c r="D34" i="1" s="1"/>
  <c r="S32" i="1"/>
  <c r="R32" i="1"/>
  <c r="Q32" i="1"/>
  <c r="S31" i="1"/>
  <c r="R31" i="1"/>
  <c r="K31" i="1"/>
  <c r="J31" i="1"/>
  <c r="D31" i="1"/>
  <c r="S30" i="1"/>
  <c r="R30" i="1"/>
  <c r="Q30" i="1"/>
  <c r="T30" i="1" s="1"/>
  <c r="K30" i="1"/>
  <c r="D30" i="1"/>
  <c r="S29" i="1"/>
  <c r="R29" i="1"/>
  <c r="Q29" i="1"/>
  <c r="J29" i="1"/>
  <c r="D29" i="1"/>
  <c r="O18" i="2"/>
  <c r="O17" i="2"/>
  <c r="T31" i="1" l="1"/>
  <c r="T33" i="1"/>
  <c r="T34" i="1"/>
  <c r="J32" i="1"/>
  <c r="K32" i="1"/>
  <c r="D32" i="1"/>
  <c r="T32" i="1"/>
  <c r="T29" i="1"/>
  <c r="S28" i="1"/>
  <c r="R28" i="1"/>
  <c r="Q28" i="1"/>
  <c r="S27" i="1"/>
  <c r="R27" i="1"/>
  <c r="K27" i="1"/>
  <c r="J27" i="1"/>
  <c r="D27" i="1"/>
  <c r="S26" i="1"/>
  <c r="R26" i="1"/>
  <c r="Q26" i="1"/>
  <c r="K26" i="1"/>
  <c r="J26" i="1"/>
  <c r="D26" i="1"/>
  <c r="S25" i="1"/>
  <c r="R25" i="1"/>
  <c r="Q25" i="1"/>
  <c r="K25" i="1"/>
  <c r="J25" i="1"/>
  <c r="J28" i="1" s="1"/>
  <c r="D25" i="1"/>
  <c r="S24" i="1"/>
  <c r="R24" i="1"/>
  <c r="Q24" i="1"/>
  <c r="S23" i="1"/>
  <c r="R23" i="1"/>
  <c r="K23" i="1"/>
  <c r="K24" i="1" s="1"/>
  <c r="J23" i="1"/>
  <c r="J24" i="1" s="1"/>
  <c r="D23" i="1"/>
  <c r="D24" i="1" s="1"/>
  <c r="T26" i="1" l="1"/>
  <c r="T23" i="1"/>
  <c r="T25" i="1"/>
  <c r="T24" i="1"/>
  <c r="T28" i="1"/>
  <c r="T27" i="1"/>
  <c r="K28" i="1"/>
  <c r="D28" i="1"/>
  <c r="K14" i="1"/>
  <c r="K22" i="1"/>
  <c r="J22" i="1"/>
  <c r="K20" i="1"/>
  <c r="J20" i="1"/>
  <c r="S22" i="1"/>
  <c r="R22" i="1"/>
  <c r="Q22" i="1"/>
  <c r="S21" i="1"/>
  <c r="R21" i="1"/>
  <c r="K21" i="1"/>
  <c r="J21" i="1"/>
  <c r="D21" i="1"/>
  <c r="D22" i="1" s="1"/>
  <c r="S20" i="1"/>
  <c r="R20" i="1"/>
  <c r="Q20" i="1"/>
  <c r="S19" i="1"/>
  <c r="R19" i="1"/>
  <c r="K19" i="1"/>
  <c r="J19" i="1"/>
  <c r="D19" i="1"/>
  <c r="D20" i="1" s="1"/>
  <c r="S14" i="1"/>
  <c r="R14" i="1"/>
  <c r="Q14" i="1"/>
  <c r="S13" i="1"/>
  <c r="R13" i="1"/>
  <c r="K13" i="1"/>
  <c r="J13" i="1"/>
  <c r="J14" i="1" s="1"/>
  <c r="D13" i="1"/>
  <c r="D14" i="1" s="1"/>
  <c r="S12" i="1"/>
  <c r="R12" i="1"/>
  <c r="Q12" i="1"/>
  <c r="S11" i="1"/>
  <c r="R11" i="1"/>
  <c r="K11" i="1"/>
  <c r="K12" i="1" s="1"/>
  <c r="J11" i="1"/>
  <c r="J12" i="1" s="1"/>
  <c r="D11" i="1"/>
  <c r="D12" i="1" s="1"/>
  <c r="S7" i="1"/>
  <c r="R7" i="1"/>
  <c r="Q7" i="1"/>
  <c r="S6" i="1"/>
  <c r="R6" i="1"/>
  <c r="K6" i="1"/>
  <c r="K7" i="1" s="1"/>
  <c r="J6" i="1"/>
  <c r="J7" i="1" s="1"/>
  <c r="D6" i="1"/>
  <c r="D7" i="1" s="1"/>
  <c r="T21" i="1" l="1"/>
  <c r="T20" i="1"/>
  <c r="T22" i="1"/>
  <c r="T6" i="1"/>
  <c r="T13" i="1"/>
  <c r="T19" i="1"/>
  <c r="T12" i="1"/>
  <c r="T14" i="1"/>
  <c r="T11" i="1"/>
  <c r="T7" i="1"/>
  <c r="K18" i="2"/>
  <c r="K17" i="2"/>
  <c r="N18" i="2"/>
  <c r="N17" i="2"/>
  <c r="N16" i="2" l="1"/>
  <c r="E18" i="2"/>
  <c r="P17" i="2"/>
  <c r="P18" i="2"/>
  <c r="K15" i="1" l="1"/>
  <c r="J15" i="1"/>
  <c r="D16" i="1"/>
  <c r="K16" i="1"/>
  <c r="J16" i="1"/>
  <c r="S18" i="1"/>
  <c r="R18" i="1"/>
  <c r="Q18" i="1"/>
  <c r="S17" i="1"/>
  <c r="R17" i="1"/>
  <c r="K17" i="1"/>
  <c r="J17" i="1"/>
  <c r="D17" i="1"/>
  <c r="S16" i="1"/>
  <c r="R16" i="1"/>
  <c r="Q16" i="1"/>
  <c r="S15" i="1"/>
  <c r="R15" i="1"/>
  <c r="Q15" i="1"/>
  <c r="D15" i="1"/>
  <c r="T16" i="1" l="1"/>
  <c r="T18" i="1"/>
  <c r="T17" i="1"/>
  <c r="T15" i="1"/>
  <c r="K18" i="1"/>
  <c r="D18" i="1"/>
  <c r="J18" i="1"/>
  <c r="K8" i="1"/>
  <c r="J8" i="1"/>
  <c r="S10" i="1"/>
  <c r="R10" i="1"/>
  <c r="Q10" i="1"/>
  <c r="S9" i="1"/>
  <c r="R9" i="1"/>
  <c r="K9" i="1"/>
  <c r="J9" i="1"/>
  <c r="D9" i="1"/>
  <c r="S8" i="1"/>
  <c r="R8" i="1"/>
  <c r="Q8" i="1"/>
  <c r="D8" i="1"/>
  <c r="J10" i="1" l="1"/>
  <c r="D10" i="1"/>
  <c r="D40" i="1" s="1"/>
  <c r="K10" i="1"/>
  <c r="T9" i="1"/>
  <c r="T8" i="1"/>
  <c r="T10" i="1"/>
  <c r="R36" i="1" l="1"/>
  <c r="R37" i="1"/>
  <c r="D38" i="1"/>
  <c r="Q18" i="2"/>
  <c r="E17" i="2"/>
  <c r="D18" i="2"/>
  <c r="I17" i="2"/>
  <c r="C17" i="2"/>
  <c r="I18" i="2"/>
  <c r="C18" i="2"/>
  <c r="Q17" i="2"/>
  <c r="B17" i="2"/>
  <c r="Q40" i="1" l="1"/>
  <c r="Q41" i="1"/>
  <c r="Q42" i="1"/>
  <c r="R43" i="1"/>
  <c r="R44" i="1"/>
  <c r="J38" i="1"/>
  <c r="Q38" i="1" l="1"/>
  <c r="D36" i="1" s="1"/>
  <c r="D37" i="1" s="1"/>
  <c r="R38" i="1"/>
  <c r="S38" i="1"/>
  <c r="K38" i="1"/>
  <c r="T38" i="1" l="1"/>
  <c r="D41" i="1"/>
  <c r="D42" i="1" s="1"/>
  <c r="E40" i="1"/>
  <c r="Q43" i="1"/>
  <c r="C23" i="2" l="1"/>
  <c r="B23" i="2"/>
  <c r="S23" i="2" s="1"/>
  <c r="Q16" i="2"/>
  <c r="P16" i="2"/>
  <c r="O16" i="2"/>
  <c r="M16" i="2"/>
  <c r="L16" i="2"/>
  <c r="K16" i="2"/>
  <c r="J16" i="2"/>
  <c r="I16" i="2"/>
  <c r="H16" i="2"/>
  <c r="E16" i="2"/>
  <c r="D16" i="2"/>
  <c r="C16" i="2"/>
  <c r="B16" i="2"/>
  <c r="X1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G15" i="2"/>
  <c r="J15" i="2"/>
  <c r="L15" i="2"/>
  <c r="H17" i="2"/>
  <c r="F18" i="2"/>
  <c r="H18" i="2"/>
  <c r="B18" i="2"/>
  <c r="F17" i="2"/>
  <c r="D17" i="2"/>
  <c r="T17" i="2" l="1"/>
  <c r="T15" i="2" s="1"/>
  <c r="S18" i="2"/>
  <c r="Q128" i="1"/>
  <c r="S17" i="2"/>
  <c r="D45" i="1" l="1"/>
  <c r="B25" i="2"/>
  <c r="L22" i="2" l="1"/>
  <c r="O22" i="2"/>
  <c r="P22" i="2"/>
  <c r="Q22" i="2"/>
  <c r="R22" i="2"/>
  <c r="H22" i="2"/>
  <c r="D46" i="1"/>
  <c r="B26" i="2"/>
  <c r="D47" i="1"/>
  <c r="S22" i="2"/>
  <c r="M22" i="2"/>
  <c r="E22" i="2"/>
  <c r="D22" i="2"/>
  <c r="I22" i="2"/>
  <c r="C22" i="2"/>
  <c r="J22" i="2"/>
  <c r="K22" i="2"/>
  <c r="B22" i="2"/>
  <c r="G22" i="2"/>
  <c r="N22" i="2"/>
  <c r="F22" i="2"/>
  <c r="E15" i="2" l="1"/>
  <c r="N15" i="2"/>
  <c r="K15" i="2"/>
  <c r="P15" i="2"/>
  <c r="Q15" i="2"/>
  <c r="I15" i="2"/>
  <c r="C15" i="2"/>
  <c r="S15" i="2"/>
  <c r="B15" i="2"/>
  <c r="M15" i="2"/>
  <c r="H15" i="2"/>
  <c r="D15" i="2"/>
  <c r="F15" i="2"/>
</calcChain>
</file>

<file path=xl/sharedStrings.xml><?xml version="1.0" encoding="utf-8"?>
<sst xmlns="http://schemas.openxmlformats.org/spreadsheetml/2006/main" count="169" uniqueCount="82">
  <si>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</si>
  <si>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</si>
  <si>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</si>
  <si>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</si>
  <si>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</si>
  <si>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</si>
  <si>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</si>
  <si>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</si>
  <si>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</si>
  <si>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</si>
  <si>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</si>
  <si>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</si>
  <si>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</si>
  <si>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</si>
  <si>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</si>
  <si>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</si>
  <si>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</si>
  <si>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</si>
  <si>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</si>
  <si>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</si>
  <si>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</si>
  <si>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</si>
  <si>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</si>
  <si>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</si>
  <si>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</si>
  <si>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</si>
  <si>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</si>
  <si>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</si>
  <si>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</si>
  <si>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</si>
  <si>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</si>
  <si>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</si>
  <si>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</si>
  <si>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</si>
  <si>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</si>
  <si>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</si>
  <si>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</si>
  <si>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</si>
  <si>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</si>
  <si>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</si>
  <si>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</si>
  <si>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</si>
  <si>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</si>
  <si>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</si>
  <si>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</si>
  <si>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</si>
  <si>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</si>
  <si>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</si>
  <si>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</si>
  <si>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</si>
  <si>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</si>
  <si>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</si>
  <si>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</si>
  <si>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</si>
  <si>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</si>
  <si>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</si>
  <si>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</si>
  <si>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</si>
  <si>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</si>
  <si>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</si>
  <si>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</si>
  <si>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</si>
  <si>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</si>
  <si>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</si>
  <si>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Sum of System
Length</t>
  </si>
  <si>
    <t>AOP</t>
  </si>
  <si>
    <t>APS-U</t>
  </si>
  <si>
    <t>Safety Intlks</t>
  </si>
  <si>
    <t xml:space="preserve">Int Dump: End of Period </t>
  </si>
  <si>
    <t>UES</t>
  </si>
  <si>
    <t>2nd fault</t>
  </si>
  <si>
    <t>OTH</t>
  </si>
  <si>
    <t>S20B:Q1 P.S. trip[PS]</t>
  </si>
  <si>
    <t>Sec. Incident [OTH]</t>
  </si>
  <si>
    <t>Downtime for Run 2015-2</t>
  </si>
  <si>
    <t>RF3 Circ Load Arc [RF]</t>
  </si>
  <si>
    <t>P0 fdbk polarity[AOP]</t>
  </si>
  <si>
    <t>RF2 crowbar flt[RF]</t>
  </si>
  <si>
    <t>Run 2015-2</t>
  </si>
  <si>
    <t>9BM PSS fault [SI]</t>
  </si>
  <si>
    <t>SI</t>
  </si>
  <si>
    <t>S38 Cab2 P.S. [PS]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</si>
</sst>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mmd/d/yy\ h:mm;@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Bitstream Vera Sans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1"/>
        <bgColor indexed="38"/>
      </patternFill>
    </fill>
    <fill>
      <patternFill patternType="solid">
        <fgColor indexed="38"/>
        <bgColor indexed="21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31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9">
    <xf numFmtId="0" fontId="0" fillId="0" borderId="0"/>
    <xf numFmtId="168" fontId="9" fillId="0" borderId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9" fontId="9" fillId="0" borderId="0" applyFill="0" applyBorder="0" applyAlignment="0" applyProtection="0"/>
  </cellStyleXfs>
  <cellXfs count="190">
    <xf numFmtId="0" fontId="0" fillId="0" borderId="0" xfId="0"/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2" fontId="2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5" fontId="4" fillId="0" borderId="0" xfId="0" applyNumberFormat="1" applyFont="1" applyAlignment="1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/>
    <xf numFmtId="2" fontId="2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textRotation="90"/>
    </xf>
    <xf numFmtId="0" fontId="4" fillId="0" borderId="2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/>
    <xf numFmtId="0" fontId="0" fillId="2" borderId="1" xfId="0" applyFill="1" applyBorder="1"/>
    <xf numFmtId="0" fontId="0" fillId="2" borderId="2" xfId="0" applyFill="1" applyBorder="1"/>
    <xf numFmtId="164" fontId="4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</xf>
    <xf numFmtId="165" fontId="2" fillId="0" borderId="0" xfId="0" applyNumberFormat="1" applyFont="1" applyFill="1" applyAlignment="1"/>
    <xf numFmtId="1" fontId="2" fillId="0" borderId="3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22" fontId="0" fillId="0" borderId="0" xfId="0" applyNumberFormat="1" applyFont="1" applyFill="1"/>
    <xf numFmtId="167" fontId="3" fillId="0" borderId="0" xfId="0" applyNumberFormat="1" applyFont="1" applyFill="1" applyAlignment="1"/>
    <xf numFmtId="0" fontId="2" fillId="0" borderId="0" xfId="0" applyNumberFormat="1" applyFont="1" applyFill="1" applyAlignment="1"/>
    <xf numFmtId="1" fontId="0" fillId="0" borderId="0" xfId="0" applyNumberFormat="1" applyFill="1"/>
    <xf numFmtId="2" fontId="2" fillId="0" borderId="0" xfId="0" applyNumberFormat="1" applyFont="1" applyFill="1" applyBorder="1" applyAlignment="1">
      <alignment horizontal="right"/>
    </xf>
    <xf numFmtId="17" fontId="0" fillId="0" borderId="0" xfId="0" applyNumberFormat="1" applyFill="1"/>
    <xf numFmtId="1" fontId="0" fillId="0" borderId="0" xfId="0" applyNumberFormat="1" applyFill="1" applyAlignment="1">
      <alignment wrapText="1"/>
    </xf>
    <xf numFmtId="2" fontId="2" fillId="0" borderId="0" xfId="1" applyNumberFormat="1" applyFont="1" applyFill="1" applyBorder="1" applyAlignment="1" applyProtection="1">
      <alignment horizontal="right"/>
    </xf>
    <xf numFmtId="165" fontId="2" fillId="0" borderId="0" xfId="0" applyNumberFormat="1" applyFont="1" applyAlignment="1"/>
    <xf numFmtId="17" fontId="3" fillId="0" borderId="0" xfId="0" applyNumberFormat="1" applyFont="1" applyFill="1" applyAlignment="1"/>
    <xf numFmtId="17" fontId="2" fillId="0" borderId="0" xfId="0" applyNumberFormat="1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69" fontId="2" fillId="0" borderId="0" xfId="8" applyNumberFormat="1" applyFont="1" applyFill="1" applyBorder="1" applyAlignment="1" applyProtection="1">
      <alignment horizontal="right"/>
    </xf>
    <xf numFmtId="170" fontId="3" fillId="0" borderId="0" xfId="0" applyNumberFormat="1" applyFont="1" applyFill="1" applyAlignment="1"/>
    <xf numFmtId="0" fontId="0" fillId="0" borderId="4" xfId="0" applyFill="1" applyBorder="1"/>
    <xf numFmtId="0" fontId="0" fillId="0" borderId="5" xfId="0" applyFill="1" applyBorder="1"/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Protection="1">
      <protection locked="0"/>
    </xf>
    <xf numFmtId="169" fontId="4" fillId="0" borderId="0" xfId="0" applyNumberFormat="1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2" fontId="0" fillId="0" borderId="0" xfId="0" applyNumberFormat="1"/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4" fillId="0" borderId="0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Border="1" applyAlignment="1">
      <alignment horizontal="right"/>
    </xf>
    <xf numFmtId="0" fontId="0" fillId="0" borderId="0" xfId="0" applyNumberFormat="1"/>
    <xf numFmtId="0" fontId="4" fillId="0" borderId="0" xfId="0" applyFont="1"/>
    <xf numFmtId="167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9" fontId="0" fillId="0" borderId="0" xfId="8" applyNumberFormat="1" applyFont="1" applyFill="1" applyBorder="1" applyAlignment="1" applyProtection="1">
      <alignment vertical="top" wrapText="1"/>
      <protection locked="0"/>
    </xf>
    <xf numFmtId="2" fontId="0" fillId="0" borderId="0" xfId="8" applyNumberFormat="1" applyFont="1" applyFill="1" applyBorder="1" applyAlignmen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8" fillId="0" borderId="0" xfId="0" applyNumberFormat="1" applyFont="1" applyFill="1" applyAlignment="1">
      <alignment horizontal="right"/>
    </xf>
    <xf numFmtId="0" fontId="0" fillId="0" borderId="8" xfId="0" applyBorder="1"/>
    <xf numFmtId="0" fontId="0" fillId="0" borderId="0" xfId="0" applyFont="1"/>
    <xf numFmtId="0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</xf>
    <xf numFmtId="164" fontId="2" fillId="3" borderId="9" xfId="0" applyNumberFormat="1" applyFont="1" applyFill="1" applyBorder="1" applyAlignment="1"/>
    <xf numFmtId="0" fontId="2" fillId="0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wrapText="1"/>
    </xf>
    <xf numFmtId="0" fontId="2" fillId="0" borderId="1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protection locked="0"/>
    </xf>
    <xf numFmtId="0" fontId="2" fillId="0" borderId="10" xfId="0" applyNumberFormat="1" applyFont="1" applyFill="1" applyBorder="1" applyAlignment="1" applyProtection="1">
      <alignment horizontal="left"/>
    </xf>
    <xf numFmtId="0" fontId="2" fillId="2" borderId="10" xfId="0" applyNumberFormat="1" applyFont="1" applyFill="1" applyBorder="1" applyAlignment="1">
      <alignment horizontal="right"/>
    </xf>
    <xf numFmtId="164" fontId="0" fillId="2" borderId="10" xfId="0" applyNumberFormat="1" applyFont="1" applyFill="1" applyBorder="1" applyAlignment="1">
      <alignment wrapText="1"/>
    </xf>
    <xf numFmtId="2" fontId="2" fillId="2" borderId="10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protection locked="0"/>
    </xf>
    <xf numFmtId="0" fontId="2" fillId="2" borderId="10" xfId="0" applyNumberFormat="1" applyFont="1" applyFill="1" applyBorder="1" applyAlignment="1" applyProtection="1">
      <alignment horizontal="left"/>
    </xf>
    <xf numFmtId="0" fontId="0" fillId="0" borderId="11" xfId="0" applyBorder="1"/>
    <xf numFmtId="0" fontId="0" fillId="0" borderId="8" xfId="0" pivotButton="1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8" xfId="0" applyNumberFormat="1" applyBorder="1"/>
    <xf numFmtId="0" fontId="0" fillId="0" borderId="13" xfId="0" applyNumberFormat="1" applyBorder="1"/>
    <xf numFmtId="0" fontId="0" fillId="0" borderId="9" xfId="0" applyNumberFormat="1" applyBorder="1"/>
    <xf numFmtId="0" fontId="0" fillId="0" borderId="14" xfId="0" applyBorder="1"/>
    <xf numFmtId="0" fontId="0" fillId="0" borderId="15" xfId="0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2" xfId="0" applyBorder="1"/>
    <xf numFmtId="0" fontId="0" fillId="0" borderId="17" xfId="0" applyBorder="1"/>
    <xf numFmtId="0" fontId="0" fillId="0" borderId="2" xfId="0" applyNumberFormat="1" applyBorder="1"/>
    <xf numFmtId="0" fontId="0" fillId="0" borderId="18" xfId="0" applyNumberFormat="1" applyBorder="1"/>
    <xf numFmtId="0" fontId="0" fillId="0" borderId="1" xfId="0" applyNumberFormat="1" applyBorder="1"/>
    <xf numFmtId="0" fontId="0" fillId="0" borderId="19" xfId="0" applyBorder="1"/>
    <xf numFmtId="2" fontId="0" fillId="0" borderId="20" xfId="0" applyNumberFormat="1" applyBorder="1"/>
    <xf numFmtId="2" fontId="0" fillId="0" borderId="21" xfId="0" applyNumberFormat="1" applyBorder="1"/>
    <xf numFmtId="0" fontId="0" fillId="0" borderId="0" xfId="0" applyNumberFormat="1" applyBorder="1" applyProtection="1">
      <protection locked="0"/>
    </xf>
    <xf numFmtId="164" fontId="2" fillId="0" borderId="22" xfId="0" applyNumberFormat="1" applyFont="1" applyFill="1" applyBorder="1" applyAlignment="1"/>
    <xf numFmtId="164" fontId="2" fillId="2" borderId="22" xfId="0" applyNumberFormat="1" applyFont="1" applyFill="1" applyBorder="1" applyAlignment="1"/>
    <xf numFmtId="0" fontId="4" fillId="0" borderId="9" xfId="0" applyNumberFormat="1" applyFont="1" applyFill="1" applyBorder="1" applyAlignment="1">
      <alignment horizontal="center" textRotation="90"/>
    </xf>
    <xf numFmtId="164" fontId="4" fillId="0" borderId="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 textRotation="90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textRotation="90"/>
    </xf>
    <xf numFmtId="2" fontId="4" fillId="0" borderId="9" xfId="0" applyNumberFormat="1" applyFont="1" applyFill="1" applyBorder="1" applyAlignment="1">
      <alignment horizontal="center" textRotation="90" wrapText="1"/>
    </xf>
    <xf numFmtId="165" fontId="4" fillId="0" borderId="9" xfId="0" applyNumberFormat="1" applyFont="1" applyFill="1" applyBorder="1" applyAlignment="1">
      <alignment horizontal="center" textRotation="90" wrapText="1"/>
    </xf>
    <xf numFmtId="0" fontId="4" fillId="0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  <protection locked="0"/>
    </xf>
    <xf numFmtId="0" fontId="2" fillId="3" borderId="16" xfId="0" applyNumberFormat="1" applyFont="1" applyFill="1" applyBorder="1" applyAlignment="1">
      <alignment horizontal="right"/>
    </xf>
    <xf numFmtId="164" fontId="2" fillId="3" borderId="23" xfId="0" applyNumberFormat="1" applyFont="1" applyFill="1" applyBorder="1" applyAlignment="1">
      <alignment horizontal="left"/>
    </xf>
    <xf numFmtId="2" fontId="2" fillId="4" borderId="16" xfId="0" applyNumberFormat="1" applyFont="1" applyFill="1" applyBorder="1" applyAlignment="1">
      <alignment horizontal="right"/>
    </xf>
    <xf numFmtId="164" fontId="2" fillId="3" borderId="16" xfId="0" applyNumberFormat="1" applyFont="1" applyFill="1" applyBorder="1" applyAlignment="1"/>
    <xf numFmtId="0" fontId="2" fillId="3" borderId="16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left"/>
    </xf>
    <xf numFmtId="2" fontId="4" fillId="3" borderId="16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 applyProtection="1"/>
    <xf numFmtId="0" fontId="2" fillId="3" borderId="16" xfId="0" applyNumberFormat="1" applyFont="1" applyFill="1" applyBorder="1" applyAlignment="1" applyProtection="1">
      <protection locked="0"/>
    </xf>
    <xf numFmtId="0" fontId="2" fillId="3" borderId="16" xfId="0" applyNumberFormat="1" applyFont="1" applyFill="1" applyBorder="1" applyAlignment="1" applyProtection="1">
      <alignment horizontal="left"/>
    </xf>
    <xf numFmtId="164" fontId="0" fillId="0" borderId="10" xfId="0" applyNumberFormat="1" applyBorder="1" applyAlignment="1">
      <alignment wrapText="1"/>
    </xf>
    <xf numFmtId="166" fontId="7" fillId="2" borderId="10" xfId="0" applyNumberFormat="1" applyFont="1" applyFill="1" applyBorder="1" applyAlignment="1">
      <alignment wrapText="1"/>
    </xf>
    <xf numFmtId="0" fontId="0" fillId="0" borderId="20" xfId="0" applyNumberFormat="1" applyBorder="1"/>
    <xf numFmtId="2" fontId="2" fillId="5" borderId="10" xfId="0" applyNumberFormat="1" applyFont="1" applyFill="1" applyBorder="1" applyAlignment="1">
      <alignment horizontal="right"/>
    </xf>
    <xf numFmtId="166" fontId="0" fillId="6" borderId="10" xfId="0" applyNumberFormat="1" applyFont="1" applyFill="1" applyBorder="1" applyAlignment="1">
      <alignment wrapText="1"/>
    </xf>
    <xf numFmtId="2" fontId="0" fillId="0" borderId="19" xfId="0" applyNumberFormat="1" applyBorder="1"/>
    <xf numFmtId="2" fontId="1" fillId="0" borderId="0" xfId="0" applyNumberFormat="1" applyFont="1" applyProtection="1">
      <protection locked="0"/>
    </xf>
    <xf numFmtId="166" fontId="2" fillId="2" borderId="10" xfId="0" applyNumberFormat="1" applyFont="1" applyFill="1" applyBorder="1" applyAlignment="1">
      <alignment wrapText="1"/>
    </xf>
    <xf numFmtId="2" fontId="2" fillId="7" borderId="10" xfId="0" applyNumberFormat="1" applyFont="1" applyFill="1" applyBorder="1" applyAlignment="1">
      <alignment horizontal="right"/>
    </xf>
    <xf numFmtId="0" fontId="2" fillId="5" borderId="10" xfId="0" applyNumberFormat="1" applyFont="1" applyFill="1" applyBorder="1" applyAlignment="1">
      <alignment horizontal="right"/>
    </xf>
    <xf numFmtId="166" fontId="0" fillId="8" borderId="10" xfId="0" applyNumberFormat="1" applyFont="1" applyFill="1" applyBorder="1" applyAlignment="1">
      <alignment wrapText="1"/>
    </xf>
    <xf numFmtId="164" fontId="0" fillId="5" borderId="10" xfId="0" applyNumberFormat="1" applyFont="1" applyFill="1" applyBorder="1" applyAlignment="1">
      <alignment wrapText="1"/>
    </xf>
    <xf numFmtId="164" fontId="2" fillId="5" borderId="10" xfId="0" applyNumberFormat="1" applyFont="1" applyFill="1" applyBorder="1" applyAlignment="1"/>
    <xf numFmtId="0" fontId="2" fillId="5" borderId="10" xfId="0" applyNumberFormat="1" applyFont="1" applyFill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2" fontId="2" fillId="9" borderId="10" xfId="0" applyNumberFormat="1" applyFont="1" applyFill="1" applyBorder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7" xfId="0" applyFont="1" applyBorder="1" applyProtection="1">
      <protection locked="0"/>
    </xf>
    <xf numFmtId="171" fontId="0" fillId="0" borderId="10" xfId="0" applyNumberFormat="1" applyBorder="1" applyAlignment="1">
      <alignment wrapText="1"/>
    </xf>
    <xf numFmtId="166" fontId="7" fillId="5" borderId="10" xfId="0" applyNumberFormat="1" applyFont="1" applyFill="1" applyBorder="1" applyAlignment="1">
      <alignment wrapText="1"/>
    </xf>
    <xf numFmtId="2" fontId="2" fillId="8" borderId="10" xfId="0" applyNumberFormat="1" applyFont="1" applyFill="1" applyBorder="1" applyAlignment="1">
      <alignment horizontal="right"/>
    </xf>
    <xf numFmtId="0" fontId="2" fillId="5" borderId="10" xfId="0" applyNumberFormat="1" applyFont="1" applyFill="1" applyBorder="1" applyAlignment="1" applyProtection="1"/>
    <xf numFmtId="0" fontId="2" fillId="5" borderId="10" xfId="0" applyNumberFormat="1" applyFont="1" applyFill="1" applyBorder="1" applyAlignment="1" applyProtection="1">
      <protection locked="0"/>
    </xf>
    <xf numFmtId="0" fontId="2" fillId="5" borderId="10" xfId="0" applyNumberFormat="1" applyFont="1" applyFill="1" applyBorder="1" applyAlignment="1" applyProtection="1">
      <alignment horizontal="left"/>
    </xf>
    <xf numFmtId="164" fontId="2" fillId="5" borderId="22" xfId="0" applyNumberFormat="1" applyFont="1" applyFill="1" applyBorder="1" applyAlignment="1"/>
    <xf numFmtId="0" fontId="2" fillId="10" borderId="10" xfId="0" applyNumberFormat="1" applyFont="1" applyFill="1" applyBorder="1" applyAlignment="1" applyProtection="1"/>
    <xf numFmtId="0" fontId="2" fillId="10" borderId="10" xfId="0" applyNumberFormat="1" applyFont="1" applyFill="1" applyBorder="1" applyAlignment="1" applyProtection="1">
      <protection locked="0"/>
    </xf>
    <xf numFmtId="0" fontId="2" fillId="10" borderId="10" xfId="0" applyNumberFormat="1" applyFont="1" applyFill="1" applyBorder="1" applyAlignment="1" applyProtection="1">
      <alignment horizontal="left"/>
    </xf>
    <xf numFmtId="164" fontId="2" fillId="10" borderId="22" xfId="0" applyNumberFormat="1" applyFont="1" applyFill="1" applyBorder="1" applyAlignment="1"/>
    <xf numFmtId="1" fontId="2" fillId="2" borderId="10" xfId="0" applyNumberFormat="1" applyFont="1" applyFill="1" applyBorder="1" applyAlignment="1">
      <alignment horizontal="right"/>
    </xf>
    <xf numFmtId="22" fontId="2" fillId="2" borderId="10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 wrapText="1"/>
    </xf>
    <xf numFmtId="22" fontId="2" fillId="2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9">
    <cellStyle name="Currency" xfId="1" builtinId="4"/>
    <cellStyle name="DataPilot Category" xfId="2"/>
    <cellStyle name="DataPilot Corner" xfId="3"/>
    <cellStyle name="DataPilot Field" xfId="4"/>
    <cellStyle name="DataPilot Result" xfId="5"/>
    <cellStyle name="DataPilot Title" xfId="6"/>
    <cellStyle name="DataPilot Value" xfId="7"/>
    <cellStyle name="Normal" xfId="0" builtinId="0"/>
    <cellStyle name="Percent" xfId="8" builtinId="5"/>
  </cellStyles>
  <dxfs count="3">
    <dxf>
      <numFmt numFmtId="2" formatCode="0.00"/>
    </dxf>
    <dxf>
      <numFmt numFmtId="2" formatCode="0.00"/>
    </dxf>
    <dxf>
      <numFmt numFmtId="2" formatCode="0.0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FFFF99"/>
      <color rgb="FFFFFFCC"/>
      <color rgb="FF99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Run 2015-2 Downtime by System 
June</a:t>
            </a:r>
            <a:r>
              <a:rPr lang="en-US" baseline="0"/>
              <a:t> 2</a:t>
            </a:r>
            <a:r>
              <a:rPr lang="en-US"/>
              <a:t> - August 26, 2015
 Scheduled User Time =  1720 hours     
User downtime= 11.35  hours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2015-2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Safety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UES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Stats!$B$15:$Q$15</c:f>
              <c:numCache>
                <c:formatCode>0.0%</c:formatCode>
                <c:ptCount val="16"/>
                <c:pt idx="0">
                  <c:v>8.8179149036069849E-4</c:v>
                </c:pt>
                <c:pt idx="1">
                  <c:v>0</c:v>
                </c:pt>
                <c:pt idx="2">
                  <c:v>2.9360749619936535E-3</c:v>
                </c:pt>
                <c:pt idx="3">
                  <c:v>0</c:v>
                </c:pt>
                <c:pt idx="4">
                  <c:v>4.9419083516895682E-4</c:v>
                </c:pt>
                <c:pt idx="5">
                  <c:v>0</c:v>
                </c:pt>
                <c:pt idx="6">
                  <c:v>0</c:v>
                </c:pt>
                <c:pt idx="7">
                  <c:v>2.1318036025900824E-4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Safety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UES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Stats!$B$16:$Q$16</c:f>
              <c:numCache>
                <c:formatCode>0.00%</c:formatCode>
                <c:ptCount val="16"/>
                <c:pt idx="0">
                  <c:v>5.4000000000000003E-3</c:v>
                </c:pt>
                <c:pt idx="1">
                  <c:v>1.2000000000000001E-3</c:v>
                </c:pt>
                <c:pt idx="2">
                  <c:v>5.4000000000000003E-3</c:v>
                </c:pt>
                <c:pt idx="3">
                  <c:v>3.0000000000000001E-3</c:v>
                </c:pt>
                <c:pt idx="4">
                  <c:v>2.8E-3</c:v>
                </c:pt>
                <c:pt idx="5">
                  <c:v>2.8E-3</c:v>
                </c:pt>
                <c:pt idx="6">
                  <c:v>3.6000000000000003E-3</c:v>
                </c:pt>
                <c:pt idx="7">
                  <c:v>1.2000000000000001E-3</c:v>
                </c:pt>
                <c:pt idx="8">
                  <c:v>0</c:v>
                </c:pt>
                <c:pt idx="9">
                  <c:v>6.0000000000000006E-4</c:v>
                </c:pt>
                <c:pt idx="10">
                  <c:v>6.0000000000000006E-4</c:v>
                </c:pt>
                <c:pt idx="11">
                  <c:v>1.8000000000000002E-3</c:v>
                </c:pt>
                <c:pt idx="12">
                  <c:v>1.8000000000000002E-3</c:v>
                </c:pt>
                <c:pt idx="13">
                  <c:v>1.8000000000000002E-3</c:v>
                </c:pt>
                <c:pt idx="14">
                  <c:v>1.2000000000000001E-3</c:v>
                </c:pt>
                <c:pt idx="15">
                  <c:v>6.0000000000000006E-4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42560"/>
        <c:axId val="103844096"/>
      </c:barChart>
      <c:catAx>
        <c:axId val="10384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139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4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44096"/>
        <c:scaling>
          <c:orientation val="minMax"/>
          <c:max val="1.4999999999999999E-2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8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Scheduled User Time</a:t>
                </a:r>
              </a:p>
            </c:rich>
          </c:tx>
          <c:layout>
            <c:manualLayout>
              <c:xMode val="edge"/>
              <c:yMode val="edge"/>
              <c:x val="1.093782546031708E-2"/>
              <c:y val="5.452318460192475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42560"/>
        <c:crosses val="autoZero"/>
        <c:crossBetween val="between"/>
        <c:majorUnit val="2.5000000000000001E-3"/>
        <c:minorUnit val="5.0000000000000001E-4"/>
      </c:valAx>
      <c:spPr>
        <a:gradFill rotWithShape="0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01941817440379"/>
          <c:y val="0.50480743828590058"/>
          <c:w val="0.20747837594177349"/>
          <c:h val="2.841361741547010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4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Run 2015-2 Faults Per Day By System</a:t>
            </a:r>
          </a:p>
        </c:rich>
      </c:tx>
      <c:layout>
        <c:manualLayout>
          <c:xMode val="edge"/>
          <c:yMode val="edge"/>
          <c:x val="0.20515467691744463"/>
          <c:y val="2.4000032782787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5616134701378"/>
          <c:y val="0.15863435793454753"/>
          <c:w val="0.83819073100029229"/>
          <c:h val="0.707708261043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2015-2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Safety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Stats!$B$22:$Q$22</c:f>
              <c:numCache>
                <c:formatCode>General</c:formatCode>
                <c:ptCount val="16"/>
                <c:pt idx="0" formatCode="0.0">
                  <c:v>2.8092627636126775E-2</c:v>
                </c:pt>
                <c:pt idx="1">
                  <c:v>0</c:v>
                </c:pt>
                <c:pt idx="2" formatCode="0.00">
                  <c:v>2.8092627636126775E-2</c:v>
                </c:pt>
                <c:pt idx="3" formatCode="0.00">
                  <c:v>0</c:v>
                </c:pt>
                <c:pt idx="4" formatCode="0.0">
                  <c:v>1.4046313818063387E-2</c:v>
                </c:pt>
                <c:pt idx="5" formatCode="0.0">
                  <c:v>0</c:v>
                </c:pt>
                <c:pt idx="6" formatCode="0.0">
                  <c:v>0</c:v>
                </c:pt>
                <c:pt idx="7" formatCode="0.00">
                  <c:v>1.4046313818063387E-2</c:v>
                </c:pt>
                <c:pt idx="8" formatCode="0.00">
                  <c:v>0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 formatCode="0.0">
                  <c:v>1.4046313818063387E-2</c:v>
                </c:pt>
                <c:pt idx="14" formatCode="0.0">
                  <c:v>0</c:v>
                </c:pt>
                <c:pt idx="15" formatCode="0.0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Safety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Stats!$B$23:$Q$23</c:f>
              <c:numCache>
                <c:formatCode>0.00</c:formatCode>
                <c:ptCount val="16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3.5000000000000003E-2</c:v>
                </c:pt>
                <c:pt idx="5">
                  <c:v>3.5000000000000003E-2</c:v>
                </c:pt>
                <c:pt idx="6">
                  <c:v>0.06</c:v>
                </c:pt>
                <c:pt idx="7">
                  <c:v>0.02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73408"/>
        <c:axId val="104274944"/>
      </c:barChart>
      <c:catAx>
        <c:axId val="1042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749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4274944"/>
        <c:scaling>
          <c:orientation val="minMax"/>
          <c:max val="0.1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99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Faults/Day</a:t>
                </a:r>
              </a:p>
            </c:rich>
          </c:tx>
          <c:layout>
            <c:manualLayout>
              <c:xMode val="edge"/>
              <c:yMode val="edge"/>
              <c:x val="7.9074547312557933E-3"/>
              <c:y val="0.408585893976367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9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73408"/>
        <c:crosses val="autoZero"/>
        <c:crossBetween val="between"/>
      </c:valAx>
      <c:spPr>
        <a:gradFill rotWithShape="0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76403031993323"/>
          <c:y val="0.97496608005966467"/>
          <c:w val="0.11260024127956003"/>
          <c:h val="1.960492643337619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80</xdr:row>
      <xdr:rowOff>76200</xdr:rowOff>
    </xdr:from>
    <xdr:to>
      <xdr:col>11</xdr:col>
      <xdr:colOff>85725</xdr:colOff>
      <xdr:row>81</xdr:row>
      <xdr:rowOff>85725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8896350" y="18230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36</xdr:row>
      <xdr:rowOff>85725</xdr:rowOff>
    </xdr:from>
    <xdr:to>
      <xdr:col>11</xdr:col>
      <xdr:colOff>85725</xdr:colOff>
      <xdr:row>37</xdr:row>
      <xdr:rowOff>104775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8896350" y="109347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 macro="">
      <xdr:nvGraphicFramePr>
        <xdr:cNvPr id="3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 macro="">
      <xdr:nvGraphicFramePr>
        <xdr:cNvPr id="4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/2011Fy/reliability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0"/>
      <sheetData sheetId="1">
        <row r="7">
          <cell r="B7">
            <v>5.4000000000000003E-3</v>
          </cell>
          <cell r="F7">
            <v>0.12</v>
          </cell>
        </row>
        <row r="8">
          <cell r="B8">
            <v>1.2000000000000001E-3</v>
          </cell>
          <cell r="F8">
            <v>0.03</v>
          </cell>
        </row>
        <row r="9">
          <cell r="B9">
            <v>5.4000000000000003E-3</v>
          </cell>
        </row>
        <row r="10">
          <cell r="B10">
            <v>3.0000000000000001E-3</v>
          </cell>
        </row>
        <row r="11">
          <cell r="B11">
            <v>1.2000000000000001E-3</v>
          </cell>
        </row>
        <row r="16">
          <cell r="B16">
            <v>3.6000000000000003E-3</v>
          </cell>
        </row>
        <row r="18">
          <cell r="B18">
            <v>1.2000000000000001E-3</v>
          </cell>
        </row>
        <row r="19">
          <cell r="B19">
            <v>0</v>
          </cell>
        </row>
        <row r="20">
          <cell r="B20">
            <v>6.0000000000000006E-4</v>
          </cell>
        </row>
        <row r="24">
          <cell r="B24">
            <v>6.0000000000000006E-4</v>
          </cell>
        </row>
        <row r="25">
          <cell r="B25">
            <v>1.8000000000000002E-3</v>
          </cell>
        </row>
        <row r="27">
          <cell r="B27">
            <v>1.8000000000000002E-3</v>
          </cell>
        </row>
        <row r="28">
          <cell r="B28">
            <v>6.0000000000000006E-4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lix" refreshedDate="42243.501562500001" createdVersion="4" refreshedVersion="4" recordCount="30">
  <cacheSource type="worksheet">
    <worksheetSource ref="A5:T35" sheet="Main Data"/>
  </cacheSource>
  <cacheFields count="20">
    <cacheField name="Fill #" numFmtId="0">
      <sharedItems containsString="0" containsBlank="1" containsNumber="1" containsInteger="1" minValue="1" maxValue="18"/>
    </cacheField>
    <cacheField name="Start" numFmtId="0">
      <sharedItems containsNonDate="0" containsDate="1" containsString="0" containsBlank="1" minDate="2015-06-02T08:00:00" maxDate="2015-08-19T08:01:00"/>
    </cacheField>
    <cacheField name="End" numFmtId="0">
      <sharedItems containsNonDate="0" containsDate="1" containsString="0" containsBlank="1" minDate="2015-06-09T08:00:00" maxDate="2015-08-27T00:00:00"/>
    </cacheField>
    <cacheField name="Length" numFmtId="2">
      <sharedItems containsString="0" containsBlank="1" containsNumber="1" minValue="2.9500000000116415" maxValue="216"/>
    </cacheField>
    <cacheField name="Loss _x000a_Reason" numFmtId="0">
      <sharedItems containsBlank="1"/>
    </cacheField>
    <cacheField name="DIN #" numFmtId="0">
      <sharedItems containsString="0" containsBlank="1" containsNumber="1" containsInteger="1" minValue="106334" maxValue="106356"/>
    </cacheField>
    <cacheField name="Audit" numFmtId="0">
      <sharedItems containsNonDate="0" containsString="0" containsBlank="1"/>
    </cacheField>
    <cacheField name="Start2" numFmtId="0">
      <sharedItems containsNonDate="0" containsDate="1" containsString="0" containsBlank="1" minDate="2015-06-11T18:50:00" maxDate="2015-08-17T14:34:00"/>
    </cacheField>
    <cacheField name="End2" numFmtId="0">
      <sharedItems containsNonDate="0" containsDate="1" containsString="0" containsBlank="1" minDate="2015-06-11T19:47:00" maxDate="2015-08-17T15:25:00"/>
    </cacheField>
    <cacheField name="User _x000a_Length" numFmtId="2">
      <sharedItems containsString="0" containsBlank="1" containsNumber="1" minValue="0" maxValue="5.0333333335001953"/>
    </cacheField>
    <cacheField name="System_x000a_Length" numFmtId="2">
      <sharedItems containsString="0" containsBlank="1" containsNumber="1" minValue="0" maxValue="5.0333333335001953"/>
    </cacheField>
    <cacheField name="Cause" numFmtId="0">
      <sharedItems containsBlank="1" count="16">
        <m/>
        <s v="RF"/>
        <s v="PS"/>
        <s v="OTH"/>
        <s v="AOP"/>
        <s v="SI"/>
        <s v="FMS" u="1"/>
        <s v="FMS-H2O" u="1"/>
        <s v="CTL" u="1"/>
        <s v="ComEd" u="1"/>
        <s v="OPS" u="1"/>
        <s v="ESH" u="1"/>
        <s v="DIA" u="1"/>
        <s v="UNK" u="1"/>
        <s v="Weather" u="1"/>
        <s v="MOM" u="1"/>
      </sharedItems>
    </cacheField>
    <cacheField name="System" numFmtId="0">
      <sharedItems containsBlank="1"/>
    </cacheField>
    <cacheField name="Group" numFmtId="0">
      <sharedItems containsBlank="1" count="9">
        <m/>
        <s v="RF"/>
        <s v="PS"/>
        <s v="OTH"/>
        <s v="AOP"/>
        <s v="SI"/>
        <s v="FMS" u="1"/>
        <s v="MOM" u="1"/>
        <s v="Other" u="1"/>
      </sharedItems>
    </cacheField>
    <cacheField name="Type" numFmtId="0">
      <sharedItems containsBlank="1" count="5">
        <s v="Scheduled"/>
        <m/>
        <s v="Store Lost"/>
        <s v="Inhibits Beam to User" u="1"/>
        <s v="Beam Dump" u="1"/>
      </sharedItems>
    </cacheField>
    <cacheField name="Description" numFmtId="164">
      <sharedItems containsBlank="1"/>
    </cacheField>
    <cacheField name="Store Lost" numFmtId="0">
      <sharedItems containsBlank="1" containsMixedTypes="1" containsNumber="1" containsInteger="1" minValue="1" maxValue="1"/>
    </cacheField>
    <cacheField name="Intention. Dump" numFmtId="0">
      <sharedItems containsBlank="1" containsMixedTypes="1" containsNumber="1" containsInteger="1" minValue="1" maxValue="1"/>
    </cacheField>
    <cacheField name="Inhibits Beam" numFmtId="0">
      <sharedItems containsBlank="1"/>
    </cacheField>
    <cacheField name="TOTAL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1"/>
    <d v="2015-06-02T08:00:00"/>
    <d v="2015-06-09T08:00:00"/>
    <n v="168"/>
    <s v="Int Dump: End of Period "/>
    <m/>
    <m/>
    <m/>
    <m/>
    <n v="0"/>
    <n v="0"/>
    <x v="0"/>
    <m/>
    <x v="0"/>
    <x v="0"/>
    <m/>
    <m/>
    <n v="1"/>
    <s v=""/>
    <n v="1"/>
  </r>
  <r>
    <m/>
    <m/>
    <m/>
    <n v="168"/>
    <m/>
    <m/>
    <m/>
    <m/>
    <m/>
    <n v="0"/>
    <n v="0"/>
    <x v="0"/>
    <m/>
    <x v="0"/>
    <x v="1"/>
    <m/>
    <s v=""/>
    <s v=""/>
    <s v=""/>
    <n v="0"/>
  </r>
  <r>
    <n v="2"/>
    <d v="2015-06-10T08:00:00"/>
    <d v="2015-06-11T18:50:00"/>
    <n v="34.833333333197515"/>
    <s v="RF3 Circ Load Arc [RF]"/>
    <n v="106334"/>
    <m/>
    <d v="2015-06-11T18:50:00"/>
    <d v="2015-06-11T19:47:00"/>
    <n v="0.95000000012805685"/>
    <n v="0.95000000012805685"/>
    <x v="1"/>
    <s v="RF"/>
    <x v="1"/>
    <x v="2"/>
    <s v="2nd fault"/>
    <n v="1"/>
    <s v=""/>
    <s v=""/>
    <n v="1"/>
  </r>
  <r>
    <n v="3"/>
    <d v="2015-06-11T19:47:00"/>
    <d v="2015-06-16T08:00:00"/>
    <n v="108.21666666667443"/>
    <s v="Int Dump: End of Period "/>
    <m/>
    <m/>
    <m/>
    <m/>
    <n v="0"/>
    <n v="0"/>
    <x v="0"/>
    <m/>
    <x v="0"/>
    <x v="0"/>
    <m/>
    <m/>
    <n v="1"/>
    <s v=""/>
    <n v="1"/>
  </r>
  <r>
    <m/>
    <m/>
    <m/>
    <n v="143.04999999987194"/>
    <m/>
    <m/>
    <m/>
    <m/>
    <m/>
    <n v="0.95000000012805685"/>
    <n v="0.95000000012805685"/>
    <x v="0"/>
    <m/>
    <x v="0"/>
    <x v="1"/>
    <m/>
    <s v=""/>
    <s v=""/>
    <s v=""/>
    <n v="0"/>
  </r>
  <r>
    <n v="4"/>
    <d v="2015-06-17T08:00:00"/>
    <d v="2015-06-23T08:00:00"/>
    <n v="144"/>
    <s v="Int Dump: End of Period "/>
    <m/>
    <m/>
    <m/>
    <m/>
    <n v="0"/>
    <n v="0"/>
    <x v="0"/>
    <m/>
    <x v="0"/>
    <x v="0"/>
    <m/>
    <m/>
    <n v="1"/>
    <s v=""/>
    <n v="1"/>
  </r>
  <r>
    <m/>
    <m/>
    <m/>
    <n v="144"/>
    <m/>
    <m/>
    <m/>
    <m/>
    <m/>
    <n v="0"/>
    <n v="0"/>
    <x v="0"/>
    <m/>
    <x v="0"/>
    <x v="1"/>
    <m/>
    <s v=""/>
    <s v=""/>
    <s v=""/>
    <n v="0"/>
  </r>
  <r>
    <n v="5"/>
    <d v="2015-06-24T08:00:00"/>
    <d v="2015-07-03T08:00:00"/>
    <n v="216"/>
    <s v="Int Dump: End of Period "/>
    <m/>
    <m/>
    <m/>
    <m/>
    <n v="0"/>
    <n v="0"/>
    <x v="0"/>
    <m/>
    <x v="0"/>
    <x v="0"/>
    <m/>
    <m/>
    <n v="1"/>
    <s v=""/>
    <n v="1"/>
  </r>
  <r>
    <m/>
    <m/>
    <m/>
    <n v="216"/>
    <m/>
    <m/>
    <m/>
    <m/>
    <m/>
    <n v="0"/>
    <n v="0"/>
    <x v="0"/>
    <m/>
    <x v="0"/>
    <x v="1"/>
    <m/>
    <s v=""/>
    <s v=""/>
    <s v=""/>
    <n v="0"/>
  </r>
  <r>
    <n v="6"/>
    <d v="2015-07-07T08:00:00"/>
    <d v="2015-07-10T00:03:00"/>
    <n v="64.049999999930151"/>
    <s v="S20B:Q1 P.S. trip[PS]"/>
    <n v="106342"/>
    <m/>
    <d v="2015-07-10T00:03:00"/>
    <d v="2015-07-10T01:31:00"/>
    <n v="1.4666666667326353"/>
    <n v="1.4666666667326353"/>
    <x v="2"/>
    <s v="PS"/>
    <x v="2"/>
    <x v="2"/>
    <m/>
    <n v="1"/>
    <s v=""/>
    <s v=""/>
    <n v="1"/>
  </r>
  <r>
    <n v="7"/>
    <d v="2015-07-10T01:31:00"/>
    <d v="2015-07-11T02:36:00"/>
    <n v="25.083333333197515"/>
    <s v="Sec. Incident [OTH]"/>
    <n v="106343"/>
    <m/>
    <d v="2015-07-11T02:36:00"/>
    <d v="2015-07-11T06:10:00"/>
    <n v="3.5666666667675599"/>
    <n v="3.5666666667675599"/>
    <x v="3"/>
    <s v="OTH"/>
    <x v="3"/>
    <x v="2"/>
    <m/>
    <n v="1"/>
    <s v=""/>
    <s v=""/>
    <n v="1"/>
  </r>
  <r>
    <n v="8"/>
    <d v="2015-07-11T06:10:00"/>
    <d v="2015-07-14T08:00:00"/>
    <n v="73.833333333372138"/>
    <s v="Int Dump: End of Period "/>
    <m/>
    <m/>
    <m/>
    <m/>
    <n v="0"/>
    <n v="0"/>
    <x v="0"/>
    <m/>
    <x v="0"/>
    <x v="0"/>
    <m/>
    <m/>
    <n v="1"/>
    <s v=""/>
    <n v="1"/>
  </r>
  <r>
    <m/>
    <m/>
    <m/>
    <n v="162.9666666664998"/>
    <m/>
    <m/>
    <m/>
    <m/>
    <m/>
    <n v="5.0333333335001953"/>
    <n v="5.0333333335001953"/>
    <x v="0"/>
    <m/>
    <x v="0"/>
    <x v="1"/>
    <m/>
    <s v=""/>
    <s v=""/>
    <s v=""/>
    <n v="0"/>
  </r>
  <r>
    <n v="9"/>
    <d v="2015-07-15T08:00:00"/>
    <d v="2015-07-21T08:00:00"/>
    <n v="144"/>
    <s v="Int Dump: End of Period "/>
    <m/>
    <m/>
    <m/>
    <m/>
    <n v="0"/>
    <n v="0"/>
    <x v="0"/>
    <m/>
    <x v="0"/>
    <x v="0"/>
    <m/>
    <m/>
    <n v="1"/>
    <s v=""/>
    <n v="1"/>
  </r>
  <r>
    <m/>
    <m/>
    <m/>
    <n v="144"/>
    <m/>
    <m/>
    <m/>
    <m/>
    <m/>
    <n v="0"/>
    <n v="0"/>
    <x v="0"/>
    <m/>
    <x v="0"/>
    <x v="1"/>
    <m/>
    <s v=""/>
    <s v=""/>
    <s v=""/>
    <n v="0"/>
  </r>
  <r>
    <n v="10"/>
    <d v="2015-07-22T08:00:00"/>
    <d v="2015-07-28T08:00:00"/>
    <n v="144"/>
    <s v="Int Dump: End of Period "/>
    <m/>
    <m/>
    <m/>
    <m/>
    <n v="0"/>
    <n v="0"/>
    <x v="0"/>
    <m/>
    <x v="0"/>
    <x v="0"/>
    <m/>
    <m/>
    <n v="1"/>
    <s v=""/>
    <n v="1"/>
  </r>
  <r>
    <m/>
    <m/>
    <m/>
    <n v="144"/>
    <m/>
    <m/>
    <m/>
    <m/>
    <m/>
    <n v="0"/>
    <n v="0"/>
    <x v="0"/>
    <m/>
    <x v="0"/>
    <x v="1"/>
    <m/>
    <s v=""/>
    <s v=""/>
    <s v=""/>
    <n v="0"/>
  </r>
  <r>
    <n v="11"/>
    <d v="2015-07-29T08:00:00"/>
    <d v="2015-08-04T08:00:00"/>
    <n v="144"/>
    <s v="Int Dump: End of Period "/>
    <m/>
    <m/>
    <m/>
    <m/>
    <n v="0"/>
    <n v="0"/>
    <x v="0"/>
    <m/>
    <x v="0"/>
    <x v="0"/>
    <m/>
    <m/>
    <n v="1"/>
    <s v=""/>
    <n v="1"/>
  </r>
  <r>
    <m/>
    <m/>
    <m/>
    <n v="144"/>
    <m/>
    <m/>
    <m/>
    <m/>
    <m/>
    <n v="0"/>
    <n v="0"/>
    <x v="0"/>
    <m/>
    <x v="0"/>
    <x v="1"/>
    <m/>
    <s v=""/>
    <s v=""/>
    <s v=""/>
    <n v="0"/>
  </r>
  <r>
    <n v="12"/>
    <d v="2015-08-05T08:00:00"/>
    <d v="2015-08-06T16:29:00"/>
    <n v="32.483333333220799"/>
    <s v="P0 fdbk polarity[AOP]"/>
    <n v="106353"/>
    <m/>
    <d v="2015-08-06T16:29:00"/>
    <d v="2015-08-06T16:51:00"/>
    <n v="0.36666666663950309"/>
    <n v="0.36666666663950309"/>
    <x v="4"/>
    <s v="AOP"/>
    <x v="4"/>
    <x v="2"/>
    <m/>
    <n v="1"/>
    <s v=""/>
    <s v=""/>
    <n v="1"/>
  </r>
  <r>
    <n v="13"/>
    <d v="2015-08-06T16:51:00"/>
    <d v="2015-08-11T04:29:00"/>
    <n v="107.6333333333605"/>
    <s v="RF2 crowbar flt[RF]"/>
    <n v="106354"/>
    <m/>
    <d v="2015-08-11T04:29:00"/>
    <d v="2015-08-11T05:03:00"/>
    <n v="0.56666666676755995"/>
    <n v="0.56666666676755995"/>
    <x v="1"/>
    <s v="RF"/>
    <x v="1"/>
    <x v="2"/>
    <m/>
    <n v="1"/>
    <s v=""/>
    <s v=""/>
    <n v="1"/>
  </r>
  <r>
    <n v="14"/>
    <d v="2015-08-11T05:03:00"/>
    <d v="2015-08-11T08:00:00"/>
    <n v="2.9500000000116415"/>
    <s v="Int Dump: End of Period "/>
    <m/>
    <m/>
    <m/>
    <m/>
    <n v="0"/>
    <n v="0"/>
    <x v="0"/>
    <m/>
    <x v="0"/>
    <x v="0"/>
    <m/>
    <m/>
    <n v="1"/>
    <s v=""/>
    <n v="1"/>
  </r>
  <r>
    <m/>
    <m/>
    <m/>
    <n v="143.06666666659294"/>
    <m/>
    <m/>
    <m/>
    <m/>
    <m/>
    <n v="0.93333333340706304"/>
    <n v="0.93333333340706304"/>
    <x v="0"/>
    <m/>
    <x v="0"/>
    <x v="1"/>
    <m/>
    <s v=""/>
    <s v=""/>
    <s v=""/>
    <n v="0"/>
  </r>
  <r>
    <n v="15"/>
    <d v="2015-08-12T08:00:00"/>
    <d v="2015-08-16T10:47:00"/>
    <n v="98.783333333325572"/>
    <s v="S38 Cab2 P.S. [PS]"/>
    <n v="106355"/>
    <m/>
    <d v="2015-08-16T10:47:00"/>
    <d v="2015-08-16T14:22:00"/>
    <n v="3.5833333333139308"/>
    <n v="3.5833333333139308"/>
    <x v="2"/>
    <s v="PS"/>
    <x v="2"/>
    <x v="2"/>
    <m/>
    <n v="1"/>
    <s v=""/>
    <s v=""/>
    <n v="1"/>
  </r>
  <r>
    <n v="16"/>
    <d v="2015-08-16T14:22:00"/>
    <d v="2015-08-17T14:34:00"/>
    <n v="24.199999999953434"/>
    <s v="9BM PSS fault [SI]"/>
    <n v="106356"/>
    <m/>
    <d v="2015-08-17T14:34:00"/>
    <d v="2015-08-17T15:25:00"/>
    <n v="0.84999999997671694"/>
    <n v="0.84999999997671694"/>
    <x v="5"/>
    <s v="SI"/>
    <x v="5"/>
    <x v="2"/>
    <m/>
    <n v="1"/>
    <s v=""/>
    <s v=""/>
    <n v="1"/>
  </r>
  <r>
    <n v="17"/>
    <d v="2015-08-17T15:25:00"/>
    <d v="2015-08-18T08:00:00"/>
    <n v="16.583333333430346"/>
    <s v="Int Dump: End of Period "/>
    <m/>
    <m/>
    <m/>
    <m/>
    <n v="0"/>
    <n v="0"/>
    <x v="0"/>
    <m/>
    <x v="0"/>
    <x v="0"/>
    <m/>
    <m/>
    <n v="1"/>
    <s v=""/>
    <n v="1"/>
  </r>
  <r>
    <m/>
    <m/>
    <m/>
    <n v="139.56666666670935"/>
    <m/>
    <m/>
    <m/>
    <m/>
    <m/>
    <n v="4.4333333332906477"/>
    <n v="4.4333333332906477"/>
    <x v="0"/>
    <m/>
    <x v="0"/>
    <x v="1"/>
    <m/>
    <s v=""/>
    <s v=""/>
    <s v=""/>
    <n v="0"/>
  </r>
  <r>
    <n v="18"/>
    <d v="2015-08-19T08:01:00"/>
    <d v="2015-08-26T00:00:00"/>
    <n v="159.98333333339542"/>
    <s v="Int Dump: End of Period "/>
    <m/>
    <m/>
    <m/>
    <m/>
    <n v="0"/>
    <n v="0"/>
    <x v="0"/>
    <m/>
    <x v="0"/>
    <x v="0"/>
    <m/>
    <m/>
    <n v="1"/>
    <s v=""/>
    <n v="1"/>
  </r>
  <r>
    <m/>
    <m/>
    <m/>
    <n v="159.98333333339542"/>
    <m/>
    <m/>
    <m/>
    <m/>
    <m/>
    <n v="0"/>
    <n v="0"/>
    <x v="0"/>
    <m/>
    <x v="0"/>
    <x v="1"/>
    <m/>
    <s v=""/>
    <s v=""/>
    <s v=""/>
    <n v="0"/>
  </r>
  <r>
    <m/>
    <m/>
    <m/>
    <m/>
    <m/>
    <m/>
    <m/>
    <m/>
    <m/>
    <m/>
    <m/>
    <x v="0"/>
    <m/>
    <x v="0"/>
    <x v="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updatedVersion="4" minRefreshableVersion="3" showMultipleLabel="0" showMemberPropertyTips="0" useAutoFormatting="1" itemPrintTitles="1" createdVersion="4" indent="0" compact="0" compactData="0" gridDropZones="1">
  <location ref="A3:G7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0">
        <item h="1" x="0"/>
        <item x="2"/>
        <item x="1"/>
        <item x="5"/>
        <item m="1" x="7"/>
        <item m="1" x="6"/>
        <item m="1" x="8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6">
    <i>
      <x v="1"/>
    </i>
    <i>
      <x v="2"/>
    </i>
    <i>
      <x v="3"/>
    </i>
    <i>
      <x v="7"/>
    </i>
    <i>
      <x v="8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_x000a_Length" fld="10" baseField="0" baseItem="0"/>
  </dataFields>
  <formats count="3">
    <format dxfId="2">
      <pivotArea outline="0" fieldPosition="0">
        <references count="2">
          <reference field="4294967294" count="1" selected="0">
            <x v="2"/>
          </reference>
          <reference field="13" count="1" selected="0">
            <x v="1"/>
          </reference>
        </references>
      </pivotArea>
    </format>
    <format dxfId="1">
      <pivotArea outline="0" fieldPosition="0">
        <references count="2">
          <reference field="4294967294" count="1" selected="0">
            <x v="2"/>
          </reference>
          <reference field="13" count="1" selected="0">
            <x v="2"/>
          </reference>
        </references>
      </pivotArea>
    </format>
    <format dxfId="0">
      <pivotArea field="13" grandCol="1" outline="0" axis="axisCol" fieldPosition="0">
        <references count="1">
          <reference field="4294967294" count="1" selected="0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minRefreshableVersion="3" showMultipleLabel="0" showMemberPropertyTips="0" useAutoFormatting="1" itemPrintTitles="1" createdVersion="4" indent="0" compact="0" compactData="0" gridDropZones="1">
  <location ref="A37:H42" firstHeaderRow="1" firstDataRow="2" firstDataCol="2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itemPageCount="0" defaultSubtotal="0">
      <items count="16">
        <item h="1" x="0"/>
        <item m="1" x="7"/>
        <item x="2"/>
        <item x="1"/>
        <item m="1" x="11"/>
        <item x="5"/>
        <item m="1" x="12"/>
        <item m="1" x="8"/>
        <item m="1" x="15"/>
        <item m="1" x="6"/>
        <item m="1" x="13"/>
        <item m="1" x="10"/>
        <item m="1" x="9"/>
        <item m="1" x="14"/>
        <item x="3"/>
        <item x="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itemPageCount="0" defaultSubtotal="0">
      <items count="5">
        <item x="0"/>
        <item x="1"/>
        <item x="2"/>
        <item m="1" x="3"/>
        <item m="1" x="4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4"/>
    <field x="-2"/>
  </rowFields>
  <rowItems count="4">
    <i>
      <x v="2"/>
      <x/>
    </i>
    <i r="1" i="1">
      <x v="1"/>
    </i>
    <i t="grand">
      <x/>
    </i>
    <i t="grand" i="1">
      <x/>
    </i>
  </rowItems>
  <colFields count="1">
    <field x="11"/>
  </colFields>
  <colItems count="6">
    <i>
      <x v="2"/>
    </i>
    <i>
      <x v="3"/>
    </i>
    <i>
      <x v="5"/>
    </i>
    <i>
      <x v="14"/>
    </i>
    <i>
      <x v="15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8"/>
  <sheetViews>
    <sheetView tabSelected="1" topLeftCell="A7" zoomScaleNormal="100" zoomScaleSheetLayoutView="112" workbookViewId="0">
      <selection activeCell="E26" sqref="E26"/>
    </sheetView>
  </sheetViews>
  <sheetFormatPr defaultColWidth="9" defaultRowHeight="12.75"/>
  <cols>
    <col min="1" max="1" width="6.7109375" style="1" customWidth="1"/>
    <col min="2" max="2" width="15.7109375" style="2" customWidth="1"/>
    <col min="3" max="3" width="16.5703125" style="2" customWidth="1"/>
    <col min="4" max="4" width="9.28515625" style="3" customWidth="1"/>
    <col min="5" max="5" width="27.140625" style="4" customWidth="1"/>
    <col min="6" max="6" width="9.28515625" style="5" customWidth="1"/>
    <col min="7" max="7" width="3.28515625" style="6" customWidth="1"/>
    <col min="8" max="8" width="16.42578125" style="7" customWidth="1"/>
    <col min="9" max="9" width="17.7109375" style="7" customWidth="1"/>
    <col min="10" max="10" width="8.28515625" style="3" customWidth="1"/>
    <col min="11" max="11" width="7.7109375" style="8" customWidth="1"/>
    <col min="12" max="12" width="11.28515625" style="9" customWidth="1"/>
    <col min="13" max="13" width="13.140625" style="10" customWidth="1"/>
    <col min="14" max="14" width="11.28515625" style="10" customWidth="1"/>
    <col min="15" max="15" width="21.5703125" style="9" customWidth="1"/>
    <col min="16" max="16" width="68.140625" style="11" customWidth="1"/>
    <col min="17" max="19" width="5.7109375" style="12" customWidth="1"/>
    <col min="20" max="16384" width="9" style="12"/>
  </cols>
  <sheetData>
    <row r="1" spans="1:24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1.0416666666666666E-2</v>
      </c>
    </row>
    <row r="2" spans="1:24" ht="26.25">
      <c r="A2" s="189" t="s">
        <v>74</v>
      </c>
      <c r="B2" s="189"/>
      <c r="C2" s="189"/>
      <c r="D2" s="189"/>
      <c r="E2" s="189"/>
      <c r="F2" s="189"/>
      <c r="G2" s="189"/>
      <c r="H2" s="189"/>
      <c r="I2" s="189"/>
      <c r="J2" s="25"/>
      <c r="K2" s="25"/>
      <c r="L2" s="26"/>
      <c r="M2" s="27"/>
      <c r="N2" s="27"/>
      <c r="O2" s="26"/>
      <c r="P2" s="23"/>
    </row>
    <row r="3" spans="1:24" s="30" customForma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4" s="30" customFormat="1" ht="20.4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4" s="30" customFormat="1" ht="67.150000000000006" customHeight="1">
      <c r="A5" s="136" t="s">
        <v>3</v>
      </c>
      <c r="B5" s="137" t="s">
        <v>4</v>
      </c>
      <c r="C5" s="137" t="s">
        <v>5</v>
      </c>
      <c r="D5" s="138" t="s">
        <v>6</v>
      </c>
      <c r="E5" s="139" t="s">
        <v>7</v>
      </c>
      <c r="F5" s="136" t="s">
        <v>8</v>
      </c>
      <c r="G5" s="140" t="s">
        <v>9</v>
      </c>
      <c r="H5" s="137" t="s">
        <v>4</v>
      </c>
      <c r="I5" s="137" t="s">
        <v>5</v>
      </c>
      <c r="J5" s="141" t="s">
        <v>10</v>
      </c>
      <c r="K5" s="142" t="s">
        <v>11</v>
      </c>
      <c r="L5" s="143" t="s">
        <v>12</v>
      </c>
      <c r="M5" s="144" t="s">
        <v>13</v>
      </c>
      <c r="N5" s="144" t="s">
        <v>14</v>
      </c>
      <c r="O5" s="143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4" s="34" customFormat="1" ht="15">
      <c r="A6" s="165">
        <v>1</v>
      </c>
      <c r="B6" s="166">
        <v>42157.333333333336</v>
      </c>
      <c r="C6" s="167">
        <v>42164.333333333336</v>
      </c>
      <c r="D6" s="159">
        <f>SUM(C6-B6)*24</f>
        <v>168</v>
      </c>
      <c r="E6" s="168" t="s">
        <v>68</v>
      </c>
      <c r="F6" s="169"/>
      <c r="G6" s="170"/>
      <c r="H6" s="175"/>
      <c r="I6" s="175"/>
      <c r="J6" s="176">
        <f>SUM(I6-H6)*24</f>
        <v>0</v>
      </c>
      <c r="K6" s="159">
        <f>SUM(I6-H6)*24</f>
        <v>0</v>
      </c>
      <c r="L6" s="177"/>
      <c r="M6" s="178"/>
      <c r="N6" s="178"/>
      <c r="O6" s="179" t="s">
        <v>21</v>
      </c>
      <c r="P6" s="180"/>
      <c r="Q6" s="35"/>
      <c r="R6" s="35">
        <f t="shared" ref="R6:R34" si="0">IF($O6="Scheduled",1,"")</f>
        <v>1</v>
      </c>
      <c r="S6" s="35" t="str">
        <f t="shared" ref="S6:S34" si="1">IF($O6="Inhibits beam to user",1,"")</f>
        <v/>
      </c>
      <c r="T6" s="36">
        <f t="shared" ref="T6:T14" si="2">SUM(Q6:S6)</f>
        <v>1</v>
      </c>
      <c r="U6" s="30"/>
      <c r="V6" s="30"/>
      <c r="W6" s="30"/>
    </row>
    <row r="7" spans="1:24" s="34" customFormat="1">
      <c r="A7" s="145"/>
      <c r="B7" s="146"/>
      <c r="C7" s="146"/>
      <c r="D7" s="147">
        <f>SUM(D2:D6)</f>
        <v>168</v>
      </c>
      <c r="E7" s="148"/>
      <c r="F7" s="149"/>
      <c r="G7" s="150"/>
      <c r="H7" s="151"/>
      <c r="I7" s="151"/>
      <c r="J7" s="152">
        <f>SUM(J5:J6)</f>
        <v>0</v>
      </c>
      <c r="K7" s="152">
        <f>SUM(K5:K6)</f>
        <v>0</v>
      </c>
      <c r="L7" s="153"/>
      <c r="M7" s="154"/>
      <c r="N7" s="154"/>
      <c r="O7" s="155"/>
      <c r="P7" s="94"/>
      <c r="Q7" s="35" t="str">
        <f t="shared" ref="Q7:Q34" si="3">IF($O7="Store Lost",1,"")</f>
        <v/>
      </c>
      <c r="R7" s="35" t="str">
        <f t="shared" si="0"/>
        <v/>
      </c>
      <c r="S7" s="35" t="str">
        <f t="shared" si="1"/>
        <v/>
      </c>
      <c r="T7" s="36">
        <f t="shared" si="2"/>
        <v>0</v>
      </c>
      <c r="U7" s="30"/>
      <c r="V7" s="30"/>
      <c r="W7" s="30"/>
    </row>
    <row r="8" spans="1:24" s="34" customFormat="1">
      <c r="A8" s="95">
        <v>2</v>
      </c>
      <c r="B8" s="96">
        <v>42165.333333333336</v>
      </c>
      <c r="C8" s="174">
        <v>42166.784722222219</v>
      </c>
      <c r="D8" s="159">
        <f>SUM(C8-B8)*24</f>
        <v>34.833333333197515</v>
      </c>
      <c r="E8" s="97" t="s">
        <v>75</v>
      </c>
      <c r="F8" s="98">
        <v>106334</v>
      </c>
      <c r="G8" s="99"/>
      <c r="H8" s="156">
        <v>42166.784722222219</v>
      </c>
      <c r="I8" s="100">
        <v>42166.824305555558</v>
      </c>
      <c r="J8" s="159">
        <f>SUM(I8-H8)*24</f>
        <v>0.95000000012805685</v>
      </c>
      <c r="K8" s="159">
        <f>SUM(I8-H8)*24</f>
        <v>0.95000000012805685</v>
      </c>
      <c r="L8" s="101" t="s">
        <v>23</v>
      </c>
      <c r="M8" s="102" t="s">
        <v>23</v>
      </c>
      <c r="N8" s="102" t="s">
        <v>23</v>
      </c>
      <c r="O8" s="103" t="s">
        <v>17</v>
      </c>
      <c r="P8" s="134" t="s">
        <v>70</v>
      </c>
      <c r="Q8" s="35">
        <f t="shared" si="3"/>
        <v>1</v>
      </c>
      <c r="R8" s="35" t="str">
        <f t="shared" si="0"/>
        <v/>
      </c>
      <c r="S8" s="35" t="str">
        <f t="shared" si="1"/>
        <v/>
      </c>
      <c r="T8" s="36">
        <f t="shared" si="2"/>
        <v>1</v>
      </c>
      <c r="U8" s="30"/>
      <c r="V8" s="30"/>
      <c r="W8" s="30"/>
    </row>
    <row r="9" spans="1:24" s="34" customFormat="1" ht="15">
      <c r="A9" s="104">
        <v>3</v>
      </c>
      <c r="B9" s="160">
        <v>42166.824305555558</v>
      </c>
      <c r="C9" s="105">
        <v>42171.333333333336</v>
      </c>
      <c r="D9" s="106">
        <f>SUM(C9-B9)*24</f>
        <v>108.21666666667443</v>
      </c>
      <c r="E9" s="107" t="s">
        <v>68</v>
      </c>
      <c r="F9" s="108"/>
      <c r="G9" s="109"/>
      <c r="H9" s="157"/>
      <c r="I9" s="157"/>
      <c r="J9" s="164">
        <f>SUM(I9-H9)*24</f>
        <v>0</v>
      </c>
      <c r="K9" s="171">
        <f>SUM(I9-H9)*24</f>
        <v>0</v>
      </c>
      <c r="L9" s="110"/>
      <c r="M9" s="111"/>
      <c r="N9" s="111"/>
      <c r="O9" s="112" t="s">
        <v>21</v>
      </c>
      <c r="P9" s="135"/>
      <c r="Q9" s="35"/>
      <c r="R9" s="35">
        <f t="shared" si="0"/>
        <v>1</v>
      </c>
      <c r="S9" s="35" t="str">
        <f t="shared" si="1"/>
        <v/>
      </c>
      <c r="T9" s="36">
        <f t="shared" si="2"/>
        <v>1</v>
      </c>
      <c r="U9" s="30"/>
      <c r="V9" s="30"/>
      <c r="W9" s="30"/>
    </row>
    <row r="10" spans="1:24" s="34" customFormat="1">
      <c r="A10" s="145"/>
      <c r="B10" s="146"/>
      <c r="C10" s="146"/>
      <c r="D10" s="147">
        <f>SUM(D8:D9)</f>
        <v>143.04999999987194</v>
      </c>
      <c r="E10" s="148"/>
      <c r="F10" s="149"/>
      <c r="G10" s="150"/>
      <c r="H10" s="151"/>
      <c r="I10" s="151"/>
      <c r="J10" s="152">
        <f>SUM(J8:J9)</f>
        <v>0.95000000012805685</v>
      </c>
      <c r="K10" s="152">
        <f>SUM(K8:K9)</f>
        <v>0.95000000012805685</v>
      </c>
      <c r="L10" s="153"/>
      <c r="M10" s="154"/>
      <c r="N10" s="154"/>
      <c r="O10" s="155"/>
      <c r="P10" s="94"/>
      <c r="Q10" s="35" t="str">
        <f t="shared" si="3"/>
        <v/>
      </c>
      <c r="R10" s="35" t="str">
        <f t="shared" si="0"/>
        <v/>
      </c>
      <c r="S10" s="35" t="str">
        <f t="shared" si="1"/>
        <v/>
      </c>
      <c r="T10" s="36">
        <f t="shared" si="2"/>
        <v>0</v>
      </c>
      <c r="U10" s="30"/>
      <c r="V10" s="30"/>
      <c r="W10" s="30"/>
    </row>
    <row r="11" spans="1:24" s="34" customFormat="1" ht="15">
      <c r="A11" s="165">
        <v>4</v>
      </c>
      <c r="B11" s="166">
        <v>42172.333333333336</v>
      </c>
      <c r="C11" s="167">
        <v>42178.333333333336</v>
      </c>
      <c r="D11" s="159">
        <f>SUM(C11-B11)*24</f>
        <v>144</v>
      </c>
      <c r="E11" s="168" t="s">
        <v>68</v>
      </c>
      <c r="F11" s="169"/>
      <c r="G11" s="170"/>
      <c r="H11" s="175"/>
      <c r="I11" s="175"/>
      <c r="J11" s="176">
        <f>SUM(I11-H11)*24</f>
        <v>0</v>
      </c>
      <c r="K11" s="159">
        <f>SUM(I11-H11)*24</f>
        <v>0</v>
      </c>
      <c r="L11" s="177"/>
      <c r="M11" s="178"/>
      <c r="N11" s="178"/>
      <c r="O11" s="179" t="s">
        <v>21</v>
      </c>
      <c r="P11" s="180"/>
      <c r="Q11" s="35"/>
      <c r="R11" s="35">
        <f t="shared" si="0"/>
        <v>1</v>
      </c>
      <c r="S11" s="35" t="str">
        <f t="shared" si="1"/>
        <v/>
      </c>
      <c r="T11" s="36">
        <f t="shared" si="2"/>
        <v>1</v>
      </c>
      <c r="U11" s="30"/>
      <c r="V11" s="30"/>
      <c r="W11" s="30"/>
    </row>
    <row r="12" spans="1:24" s="34" customFormat="1">
      <c r="A12" s="145"/>
      <c r="B12" s="146"/>
      <c r="C12" s="146"/>
      <c r="D12" s="147">
        <f>SUM(D11:D11)</f>
        <v>144</v>
      </c>
      <c r="E12" s="148"/>
      <c r="F12" s="149"/>
      <c r="G12" s="150"/>
      <c r="H12" s="151"/>
      <c r="I12" s="151"/>
      <c r="J12" s="152">
        <f>SUM(J11:J11)</f>
        <v>0</v>
      </c>
      <c r="K12" s="152">
        <f>SUM(K11:K11)</f>
        <v>0</v>
      </c>
      <c r="L12" s="153"/>
      <c r="M12" s="154"/>
      <c r="N12" s="154"/>
      <c r="O12" s="155"/>
      <c r="P12" s="94"/>
      <c r="Q12" s="35" t="str">
        <f t="shared" si="3"/>
        <v/>
      </c>
      <c r="R12" s="35" t="str">
        <f t="shared" si="0"/>
        <v/>
      </c>
      <c r="S12" s="35" t="str">
        <f t="shared" si="1"/>
        <v/>
      </c>
      <c r="T12" s="36">
        <f t="shared" si="2"/>
        <v>0</v>
      </c>
      <c r="U12" s="30"/>
      <c r="V12" s="30"/>
      <c r="W12" s="30"/>
    </row>
    <row r="13" spans="1:24" s="34" customFormat="1" ht="15">
      <c r="A13" s="165">
        <v>5</v>
      </c>
      <c r="B13" s="166">
        <v>42179.333333333336</v>
      </c>
      <c r="C13" s="167">
        <v>42188.333333333336</v>
      </c>
      <c r="D13" s="159">
        <f>SUM(C13-B13)*24</f>
        <v>216</v>
      </c>
      <c r="E13" s="168" t="s">
        <v>68</v>
      </c>
      <c r="F13" s="169"/>
      <c r="G13" s="170"/>
      <c r="H13" s="175"/>
      <c r="I13" s="175"/>
      <c r="J13" s="176">
        <f>SUM(I13-H13)*24</f>
        <v>0</v>
      </c>
      <c r="K13" s="159">
        <f>SUM(I13-H13)*24</f>
        <v>0</v>
      </c>
      <c r="L13" s="177"/>
      <c r="M13" s="178"/>
      <c r="N13" s="178"/>
      <c r="O13" s="179" t="s">
        <v>21</v>
      </c>
      <c r="P13" s="180"/>
      <c r="Q13" s="35"/>
      <c r="R13" s="35">
        <f t="shared" si="0"/>
        <v>1</v>
      </c>
      <c r="S13" s="35" t="str">
        <f t="shared" si="1"/>
        <v/>
      </c>
      <c r="T13" s="36">
        <f t="shared" si="2"/>
        <v>1</v>
      </c>
      <c r="U13" s="30"/>
      <c r="V13" s="30"/>
      <c r="W13" s="30"/>
    </row>
    <row r="14" spans="1:24" s="34" customFormat="1">
      <c r="A14" s="145"/>
      <c r="B14" s="146"/>
      <c r="C14" s="146"/>
      <c r="D14" s="147">
        <f>SUM(D13:D13)</f>
        <v>216</v>
      </c>
      <c r="E14" s="148"/>
      <c r="F14" s="149"/>
      <c r="G14" s="150"/>
      <c r="H14" s="151"/>
      <c r="I14" s="151"/>
      <c r="J14" s="152">
        <f>SUM(J13:J13)</f>
        <v>0</v>
      </c>
      <c r="K14" s="152">
        <f>SUM(K13:K13)</f>
        <v>0</v>
      </c>
      <c r="L14" s="153"/>
      <c r="M14" s="154"/>
      <c r="N14" s="154"/>
      <c r="O14" s="155"/>
      <c r="P14" s="94"/>
      <c r="Q14" s="35" t="str">
        <f t="shared" si="3"/>
        <v/>
      </c>
      <c r="R14" s="35" t="str">
        <f t="shared" si="0"/>
        <v/>
      </c>
      <c r="S14" s="35" t="str">
        <f t="shared" si="1"/>
        <v/>
      </c>
      <c r="T14" s="36">
        <f t="shared" si="2"/>
        <v>0</v>
      </c>
      <c r="U14" s="30"/>
      <c r="V14" s="30"/>
      <c r="W14" s="30"/>
    </row>
    <row r="15" spans="1:24" s="34" customFormat="1">
      <c r="A15" s="95">
        <v>6</v>
      </c>
      <c r="B15" s="96">
        <v>42192.333333333336</v>
      </c>
      <c r="C15" s="174">
        <v>42195.002083333333</v>
      </c>
      <c r="D15" s="159">
        <f>SUM(C15-B15)*24</f>
        <v>64.049999999930151</v>
      </c>
      <c r="E15" s="97" t="s">
        <v>72</v>
      </c>
      <c r="F15" s="98">
        <v>106342</v>
      </c>
      <c r="G15" s="99"/>
      <c r="H15" s="174">
        <v>42195.002083333333</v>
      </c>
      <c r="I15" s="100">
        <v>42195.063194444447</v>
      </c>
      <c r="J15" s="176">
        <f>SUM(I15-H15)*24</f>
        <v>1.4666666667326353</v>
      </c>
      <c r="K15" s="159">
        <f>SUM(I15-H15)*24</f>
        <v>1.4666666667326353</v>
      </c>
      <c r="L15" s="101" t="s">
        <v>22</v>
      </c>
      <c r="M15" s="102" t="s">
        <v>22</v>
      </c>
      <c r="N15" s="102" t="s">
        <v>22</v>
      </c>
      <c r="O15" s="103" t="s">
        <v>17</v>
      </c>
      <c r="P15" s="134"/>
      <c r="Q15" s="35">
        <f t="shared" si="3"/>
        <v>1</v>
      </c>
      <c r="R15" s="35" t="str">
        <f t="shared" si="0"/>
        <v/>
      </c>
      <c r="S15" s="35" t="str">
        <f t="shared" si="1"/>
        <v/>
      </c>
      <c r="T15" s="36">
        <f t="shared" ref="T15:T22" si="4">SUM(Q15:S15)</f>
        <v>1</v>
      </c>
      <c r="U15" s="30"/>
      <c r="V15" s="30"/>
      <c r="W15" s="30"/>
    </row>
    <row r="16" spans="1:24" s="34" customFormat="1">
      <c r="A16" s="185">
        <v>7</v>
      </c>
      <c r="B16" s="107">
        <v>42195.063194444447</v>
      </c>
      <c r="C16" s="186">
        <v>42196.10833333333</v>
      </c>
      <c r="D16" s="106">
        <f>SUM(C16-B16)*24</f>
        <v>25.083333333197515</v>
      </c>
      <c r="E16" s="105" t="s">
        <v>73</v>
      </c>
      <c r="F16" s="187">
        <v>106343</v>
      </c>
      <c r="G16" s="106"/>
      <c r="H16" s="188">
        <v>42196.10833333333</v>
      </c>
      <c r="I16" s="163">
        <v>42196.256944444445</v>
      </c>
      <c r="J16" s="106">
        <f>SUM(I16-H16)*24</f>
        <v>3.5666666667675599</v>
      </c>
      <c r="K16" s="106">
        <f>SUM(I16-H16)*24</f>
        <v>3.5666666667675599</v>
      </c>
      <c r="L16" s="181" t="s">
        <v>71</v>
      </c>
      <c r="M16" s="182" t="s">
        <v>71</v>
      </c>
      <c r="N16" s="182" t="s">
        <v>71</v>
      </c>
      <c r="O16" s="183" t="s">
        <v>17</v>
      </c>
      <c r="P16" s="184"/>
      <c r="Q16" s="35">
        <f t="shared" si="3"/>
        <v>1</v>
      </c>
      <c r="R16" s="35" t="str">
        <f t="shared" si="0"/>
        <v/>
      </c>
      <c r="S16" s="35" t="str">
        <f t="shared" si="1"/>
        <v/>
      </c>
      <c r="T16" s="36">
        <f t="shared" si="4"/>
        <v>1</v>
      </c>
      <c r="U16" s="30"/>
      <c r="V16" s="30"/>
      <c r="W16" s="30"/>
    </row>
    <row r="17" spans="1:23" s="34" customFormat="1" ht="15">
      <c r="A17" s="165">
        <v>8</v>
      </c>
      <c r="B17" s="166">
        <v>42196.256944444445</v>
      </c>
      <c r="C17" s="167">
        <v>42199.333333333336</v>
      </c>
      <c r="D17" s="159">
        <f>SUM(C17-B17)*24</f>
        <v>73.833333333372138</v>
      </c>
      <c r="E17" s="168" t="s">
        <v>68</v>
      </c>
      <c r="F17" s="169"/>
      <c r="G17" s="170"/>
      <c r="H17" s="175"/>
      <c r="I17" s="175"/>
      <c r="J17" s="176">
        <f>SUM(I17-H17)*24</f>
        <v>0</v>
      </c>
      <c r="K17" s="159">
        <f>SUM(I17-H17)*24</f>
        <v>0</v>
      </c>
      <c r="L17" s="177"/>
      <c r="M17" s="178"/>
      <c r="N17" s="178"/>
      <c r="O17" s="179" t="s">
        <v>21</v>
      </c>
      <c r="P17" s="180"/>
      <c r="Q17" s="35"/>
      <c r="R17" s="35">
        <f t="shared" si="0"/>
        <v>1</v>
      </c>
      <c r="S17" s="35" t="str">
        <f t="shared" si="1"/>
        <v/>
      </c>
      <c r="T17" s="36">
        <f t="shared" si="4"/>
        <v>1</v>
      </c>
      <c r="U17" s="30"/>
      <c r="V17" s="30"/>
      <c r="W17" s="30"/>
    </row>
    <row r="18" spans="1:23" s="34" customFormat="1">
      <c r="A18" s="145"/>
      <c r="B18" s="146"/>
      <c r="C18" s="146"/>
      <c r="D18" s="147">
        <f>SUM(D15:D17)</f>
        <v>162.9666666664998</v>
      </c>
      <c r="E18" s="148"/>
      <c r="F18" s="149"/>
      <c r="G18" s="150"/>
      <c r="H18" s="151"/>
      <c r="I18" s="151"/>
      <c r="J18" s="152">
        <f>SUM(J15:J17)</f>
        <v>5.0333333335001953</v>
      </c>
      <c r="K18" s="152">
        <f>SUM(K15:K17)</f>
        <v>5.0333333335001953</v>
      </c>
      <c r="L18" s="153"/>
      <c r="M18" s="154"/>
      <c r="N18" s="154"/>
      <c r="O18" s="155"/>
      <c r="P18" s="94"/>
      <c r="Q18" s="35" t="str">
        <f t="shared" si="3"/>
        <v/>
      </c>
      <c r="R18" s="35" t="str">
        <f t="shared" si="0"/>
        <v/>
      </c>
      <c r="S18" s="35" t="str">
        <f t="shared" si="1"/>
        <v/>
      </c>
      <c r="T18" s="36">
        <f t="shared" si="4"/>
        <v>0</v>
      </c>
      <c r="U18" s="30"/>
      <c r="V18" s="30"/>
      <c r="W18" s="30"/>
    </row>
    <row r="19" spans="1:23" s="34" customFormat="1" ht="15">
      <c r="A19" s="165">
        <v>9</v>
      </c>
      <c r="B19" s="166">
        <v>42200.333333333336</v>
      </c>
      <c r="C19" s="167">
        <v>42206.333333333336</v>
      </c>
      <c r="D19" s="159">
        <f>SUM(C19-B19)*24</f>
        <v>144</v>
      </c>
      <c r="E19" s="168" t="s">
        <v>68</v>
      </c>
      <c r="F19" s="169"/>
      <c r="G19" s="170"/>
      <c r="H19" s="175"/>
      <c r="I19" s="175"/>
      <c r="J19" s="176">
        <f>SUM(I19-H19)*24</f>
        <v>0</v>
      </c>
      <c r="K19" s="159">
        <f>SUM(I19-H19)*24</f>
        <v>0</v>
      </c>
      <c r="L19" s="177"/>
      <c r="M19" s="178"/>
      <c r="N19" s="178"/>
      <c r="O19" s="179" t="s">
        <v>21</v>
      </c>
      <c r="P19" s="180"/>
      <c r="Q19" s="35"/>
      <c r="R19" s="35">
        <f t="shared" si="0"/>
        <v>1</v>
      </c>
      <c r="S19" s="35" t="str">
        <f t="shared" si="1"/>
        <v/>
      </c>
      <c r="T19" s="36">
        <f t="shared" si="4"/>
        <v>1</v>
      </c>
      <c r="U19" s="30"/>
      <c r="V19" s="30"/>
      <c r="W19" s="30"/>
    </row>
    <row r="20" spans="1:23" s="34" customFormat="1">
      <c r="A20" s="145"/>
      <c r="B20" s="146"/>
      <c r="C20" s="146"/>
      <c r="D20" s="147">
        <f>SUM(D19:D19)</f>
        <v>144</v>
      </c>
      <c r="E20" s="148"/>
      <c r="F20" s="149"/>
      <c r="G20" s="150"/>
      <c r="H20" s="151"/>
      <c r="I20" s="151"/>
      <c r="J20" s="152">
        <f>SUM(J19:J19)</f>
        <v>0</v>
      </c>
      <c r="K20" s="152">
        <f>SUM(K19:K19)</f>
        <v>0</v>
      </c>
      <c r="L20" s="153"/>
      <c r="M20" s="154"/>
      <c r="N20" s="154"/>
      <c r="O20" s="155"/>
      <c r="P20" s="94"/>
      <c r="Q20" s="35" t="str">
        <f t="shared" si="3"/>
        <v/>
      </c>
      <c r="R20" s="35" t="str">
        <f t="shared" si="0"/>
        <v/>
      </c>
      <c r="S20" s="35" t="str">
        <f t="shared" si="1"/>
        <v/>
      </c>
      <c r="T20" s="36">
        <f t="shared" si="4"/>
        <v>0</v>
      </c>
      <c r="U20" s="30"/>
      <c r="V20" s="30"/>
      <c r="W20" s="30"/>
    </row>
    <row r="21" spans="1:23" s="34" customFormat="1" ht="15">
      <c r="A21" s="165">
        <v>10</v>
      </c>
      <c r="B21" s="166">
        <v>42207.333333333336</v>
      </c>
      <c r="C21" s="167">
        <v>42213.333333333336</v>
      </c>
      <c r="D21" s="159">
        <f>SUM(C21-B21)*24</f>
        <v>144</v>
      </c>
      <c r="E21" s="168" t="s">
        <v>68</v>
      </c>
      <c r="F21" s="169"/>
      <c r="G21" s="170"/>
      <c r="H21" s="175"/>
      <c r="I21" s="175"/>
      <c r="J21" s="176">
        <f>SUM(I21-H21)*24</f>
        <v>0</v>
      </c>
      <c r="K21" s="159">
        <f>SUM(I21-H21)*24</f>
        <v>0</v>
      </c>
      <c r="L21" s="177"/>
      <c r="M21" s="178"/>
      <c r="N21" s="178"/>
      <c r="O21" s="179" t="s">
        <v>21</v>
      </c>
      <c r="P21" s="180"/>
      <c r="Q21" s="35"/>
      <c r="R21" s="35">
        <f t="shared" si="0"/>
        <v>1</v>
      </c>
      <c r="S21" s="35" t="str">
        <f t="shared" si="1"/>
        <v/>
      </c>
      <c r="T21" s="36">
        <f t="shared" si="4"/>
        <v>1</v>
      </c>
      <c r="U21" s="30"/>
      <c r="V21" s="30"/>
      <c r="W21" s="30"/>
    </row>
    <row r="22" spans="1:23" s="34" customFormat="1">
      <c r="A22" s="145"/>
      <c r="B22" s="146"/>
      <c r="C22" s="146"/>
      <c r="D22" s="147">
        <f>SUM(D21:D21)</f>
        <v>144</v>
      </c>
      <c r="E22" s="148"/>
      <c r="F22" s="149"/>
      <c r="G22" s="150"/>
      <c r="H22" s="151"/>
      <c r="I22" s="151"/>
      <c r="J22" s="152">
        <f>SUM(J21:J21)</f>
        <v>0</v>
      </c>
      <c r="K22" s="152">
        <f>SUM(K21:K21)</f>
        <v>0</v>
      </c>
      <c r="L22" s="153"/>
      <c r="M22" s="154"/>
      <c r="N22" s="154"/>
      <c r="O22" s="155"/>
      <c r="P22" s="94"/>
      <c r="Q22" s="35" t="str">
        <f t="shared" si="3"/>
        <v/>
      </c>
      <c r="R22" s="35" t="str">
        <f t="shared" si="0"/>
        <v/>
      </c>
      <c r="S22" s="35" t="str">
        <f t="shared" si="1"/>
        <v/>
      </c>
      <c r="T22" s="36">
        <f t="shared" si="4"/>
        <v>0</v>
      </c>
      <c r="U22" s="30"/>
      <c r="V22" s="30"/>
      <c r="W22" s="30"/>
    </row>
    <row r="23" spans="1:23" s="34" customFormat="1" ht="15">
      <c r="A23" s="165">
        <v>11</v>
      </c>
      <c r="B23" s="166">
        <v>42214.333333333336</v>
      </c>
      <c r="C23" s="167">
        <v>42220.333333333336</v>
      </c>
      <c r="D23" s="159">
        <f>SUM(C23-B23)*24</f>
        <v>144</v>
      </c>
      <c r="E23" s="168" t="s">
        <v>68</v>
      </c>
      <c r="F23" s="169"/>
      <c r="G23" s="170"/>
      <c r="H23" s="175"/>
      <c r="I23" s="175"/>
      <c r="J23" s="176">
        <f>SUM(I23-H23)*24</f>
        <v>0</v>
      </c>
      <c r="K23" s="159">
        <f>SUM(I23-H23)*24</f>
        <v>0</v>
      </c>
      <c r="L23" s="177"/>
      <c r="M23" s="178"/>
      <c r="N23" s="178"/>
      <c r="O23" s="179" t="s">
        <v>21</v>
      </c>
      <c r="P23" s="180"/>
      <c r="Q23" s="35"/>
      <c r="R23" s="35">
        <f t="shared" si="0"/>
        <v>1</v>
      </c>
      <c r="S23" s="35" t="str">
        <f t="shared" si="1"/>
        <v/>
      </c>
      <c r="T23" s="36">
        <f t="shared" ref="T23:T32" si="5">SUM(Q23:S23)</f>
        <v>1</v>
      </c>
      <c r="U23" s="30"/>
      <c r="V23" s="30"/>
      <c r="W23" s="30"/>
    </row>
    <row r="24" spans="1:23" s="34" customFormat="1">
      <c r="A24" s="145"/>
      <c r="B24" s="146"/>
      <c r="C24" s="146"/>
      <c r="D24" s="147">
        <f>SUM(D23:D23)</f>
        <v>144</v>
      </c>
      <c r="E24" s="148"/>
      <c r="F24" s="149"/>
      <c r="G24" s="150"/>
      <c r="H24" s="151"/>
      <c r="I24" s="151"/>
      <c r="J24" s="152">
        <f>SUM(J23:J23)</f>
        <v>0</v>
      </c>
      <c r="K24" s="152">
        <f>SUM(K23:K23)</f>
        <v>0</v>
      </c>
      <c r="L24" s="153"/>
      <c r="M24" s="154"/>
      <c r="N24" s="154"/>
      <c r="O24" s="155"/>
      <c r="P24" s="94"/>
      <c r="Q24" s="35" t="str">
        <f t="shared" si="3"/>
        <v/>
      </c>
      <c r="R24" s="35" t="str">
        <f t="shared" si="0"/>
        <v/>
      </c>
      <c r="S24" s="35" t="str">
        <f t="shared" si="1"/>
        <v/>
      </c>
      <c r="T24" s="36">
        <f t="shared" si="5"/>
        <v>0</v>
      </c>
      <c r="U24" s="30"/>
      <c r="V24" s="30"/>
      <c r="W24" s="30"/>
    </row>
    <row r="25" spans="1:23" s="34" customFormat="1">
      <c r="A25" s="95">
        <v>12</v>
      </c>
      <c r="B25" s="96">
        <v>42221.333333333336</v>
      </c>
      <c r="C25" s="174">
        <v>42222.686805555553</v>
      </c>
      <c r="D25" s="159">
        <f>SUM(C25-B25)*24</f>
        <v>32.483333333220799</v>
      </c>
      <c r="E25" s="97" t="s">
        <v>76</v>
      </c>
      <c r="F25" s="98">
        <v>106353</v>
      </c>
      <c r="G25" s="99"/>
      <c r="H25" s="174">
        <v>42222.686805555553</v>
      </c>
      <c r="I25" s="100">
        <v>42222.70208333333</v>
      </c>
      <c r="J25" s="176">
        <f>SUM(I25-H25)*24</f>
        <v>0.36666666663950309</v>
      </c>
      <c r="K25" s="159">
        <f>SUM(I25-H25)*24</f>
        <v>0.36666666663950309</v>
      </c>
      <c r="L25" s="101" t="s">
        <v>65</v>
      </c>
      <c r="M25" s="102" t="s">
        <v>65</v>
      </c>
      <c r="N25" s="102" t="s">
        <v>65</v>
      </c>
      <c r="O25" s="103" t="s">
        <v>17</v>
      </c>
      <c r="P25" s="134"/>
      <c r="Q25" s="35">
        <f t="shared" si="3"/>
        <v>1</v>
      </c>
      <c r="R25" s="35" t="str">
        <f t="shared" si="0"/>
        <v/>
      </c>
      <c r="S25" s="35" t="str">
        <f t="shared" si="1"/>
        <v/>
      </c>
      <c r="T25" s="36">
        <f t="shared" si="5"/>
        <v>1</v>
      </c>
      <c r="U25" s="30"/>
      <c r="V25" s="30"/>
      <c r="W25" s="30"/>
    </row>
    <row r="26" spans="1:23" s="34" customFormat="1">
      <c r="A26" s="185">
        <v>13</v>
      </c>
      <c r="B26" s="107">
        <v>42222.70208333333</v>
      </c>
      <c r="C26" s="186">
        <v>42227.186805555553</v>
      </c>
      <c r="D26" s="106">
        <f>SUM(C26-B26)*24</f>
        <v>107.6333333333605</v>
      </c>
      <c r="E26" s="105" t="s">
        <v>77</v>
      </c>
      <c r="F26" s="187">
        <v>106354</v>
      </c>
      <c r="G26" s="106"/>
      <c r="H26" s="188">
        <v>42227.186805555553</v>
      </c>
      <c r="I26" s="163">
        <v>42227.210416666669</v>
      </c>
      <c r="J26" s="106">
        <f>SUM(I26-H26)*24</f>
        <v>0.56666666676755995</v>
      </c>
      <c r="K26" s="106">
        <f>SUM(I26-H26)*24</f>
        <v>0.56666666676755995</v>
      </c>
      <c r="L26" s="181" t="s">
        <v>23</v>
      </c>
      <c r="M26" s="182" t="s">
        <v>23</v>
      </c>
      <c r="N26" s="182" t="s">
        <v>23</v>
      </c>
      <c r="O26" s="183" t="s">
        <v>17</v>
      </c>
      <c r="P26" s="184"/>
      <c r="Q26" s="35">
        <f t="shared" si="3"/>
        <v>1</v>
      </c>
      <c r="R26" s="35" t="str">
        <f t="shared" si="0"/>
        <v/>
      </c>
      <c r="S26" s="35" t="str">
        <f t="shared" si="1"/>
        <v/>
      </c>
      <c r="T26" s="36">
        <f t="shared" si="5"/>
        <v>1</v>
      </c>
      <c r="U26" s="30"/>
      <c r="V26" s="30"/>
      <c r="W26" s="30"/>
    </row>
    <row r="27" spans="1:23" s="34" customFormat="1" ht="15">
      <c r="A27" s="165">
        <v>14</v>
      </c>
      <c r="B27" s="166">
        <v>42227.210416666669</v>
      </c>
      <c r="C27" s="167">
        <v>42227.333333333336</v>
      </c>
      <c r="D27" s="159">
        <f>SUM(C27-B27)*24</f>
        <v>2.9500000000116415</v>
      </c>
      <c r="E27" s="168" t="s">
        <v>68</v>
      </c>
      <c r="F27" s="169"/>
      <c r="G27" s="170"/>
      <c r="H27" s="175"/>
      <c r="I27" s="175"/>
      <c r="J27" s="176">
        <f>SUM(I27-H27)*24</f>
        <v>0</v>
      </c>
      <c r="K27" s="159">
        <f>SUM(I27-H27)*24</f>
        <v>0</v>
      </c>
      <c r="L27" s="177"/>
      <c r="M27" s="178"/>
      <c r="N27" s="178"/>
      <c r="O27" s="179" t="s">
        <v>21</v>
      </c>
      <c r="P27" s="180"/>
      <c r="Q27" s="35"/>
      <c r="R27" s="35">
        <f t="shared" si="0"/>
        <v>1</v>
      </c>
      <c r="S27" s="35" t="str">
        <f t="shared" si="1"/>
        <v/>
      </c>
      <c r="T27" s="36">
        <f t="shared" si="5"/>
        <v>1</v>
      </c>
      <c r="U27" s="30"/>
      <c r="V27" s="30"/>
      <c r="W27" s="30"/>
    </row>
    <row r="28" spans="1:23" s="34" customFormat="1">
      <c r="A28" s="145"/>
      <c r="B28" s="146"/>
      <c r="C28" s="146"/>
      <c r="D28" s="147">
        <f>SUM(D25:D27)</f>
        <v>143.06666666659294</v>
      </c>
      <c r="E28" s="148"/>
      <c r="F28" s="149"/>
      <c r="G28" s="150"/>
      <c r="H28" s="151"/>
      <c r="I28" s="151"/>
      <c r="J28" s="152">
        <f>SUM(J25:J27)</f>
        <v>0.93333333340706304</v>
      </c>
      <c r="K28" s="152">
        <f>SUM(K25:K27)</f>
        <v>0.93333333340706304</v>
      </c>
      <c r="L28" s="153"/>
      <c r="M28" s="154"/>
      <c r="N28" s="154"/>
      <c r="O28" s="155"/>
      <c r="P28" s="94"/>
      <c r="Q28" s="35" t="str">
        <f t="shared" si="3"/>
        <v/>
      </c>
      <c r="R28" s="35" t="str">
        <f t="shared" si="0"/>
        <v/>
      </c>
      <c r="S28" s="35" t="str">
        <f t="shared" si="1"/>
        <v/>
      </c>
      <c r="T28" s="36">
        <f t="shared" si="5"/>
        <v>0</v>
      </c>
      <c r="U28" s="30"/>
      <c r="V28" s="30"/>
      <c r="W28" s="30"/>
    </row>
    <row r="29" spans="1:23" s="34" customFormat="1">
      <c r="A29" s="95">
        <v>15</v>
      </c>
      <c r="B29" s="96">
        <v>42228.333333333336</v>
      </c>
      <c r="C29" s="174">
        <v>42232.449305555558</v>
      </c>
      <c r="D29" s="159">
        <f>SUM(C29-B29)*24</f>
        <v>98.783333333325572</v>
      </c>
      <c r="E29" s="97" t="s">
        <v>81</v>
      </c>
      <c r="F29" s="98">
        <v>106355</v>
      </c>
      <c r="G29" s="99"/>
      <c r="H29" s="156">
        <v>42232.449305555558</v>
      </c>
      <c r="I29" s="100">
        <v>42232.598611111112</v>
      </c>
      <c r="J29" s="176">
        <f>SUM(I29-H29)*24</f>
        <v>3.5833333333139308</v>
      </c>
      <c r="K29" s="159">
        <f>SUM(I29-H29)*24</f>
        <v>3.5833333333139308</v>
      </c>
      <c r="L29" s="101" t="s">
        <v>22</v>
      </c>
      <c r="M29" s="102" t="s">
        <v>22</v>
      </c>
      <c r="N29" s="102" t="s">
        <v>22</v>
      </c>
      <c r="O29" s="103" t="s">
        <v>17</v>
      </c>
      <c r="P29" s="134"/>
      <c r="Q29" s="35">
        <f t="shared" si="3"/>
        <v>1</v>
      </c>
      <c r="R29" s="35" t="str">
        <f t="shared" si="0"/>
        <v/>
      </c>
      <c r="S29" s="35" t="str">
        <f t="shared" si="1"/>
        <v/>
      </c>
      <c r="T29" s="36">
        <f t="shared" si="5"/>
        <v>1</v>
      </c>
      <c r="U29" s="30"/>
      <c r="V29" s="30"/>
      <c r="W29" s="30"/>
    </row>
    <row r="30" spans="1:23" s="34" customFormat="1">
      <c r="A30" s="185">
        <v>16</v>
      </c>
      <c r="B30" s="107">
        <v>42232.598611111112</v>
      </c>
      <c r="C30" s="186">
        <v>42233.606944444444</v>
      </c>
      <c r="D30" s="106">
        <f>SUM(C30-B30)*24</f>
        <v>24.199999999953434</v>
      </c>
      <c r="E30" s="105" t="s">
        <v>79</v>
      </c>
      <c r="F30" s="187">
        <v>106356</v>
      </c>
      <c r="G30" s="106"/>
      <c r="H30" s="188">
        <v>42233.606944444444</v>
      </c>
      <c r="I30" s="163">
        <v>42233.642361111109</v>
      </c>
      <c r="J30" s="106">
        <f>SUM(I30-H30)*24</f>
        <v>0.84999999997671694</v>
      </c>
      <c r="K30" s="106">
        <f>SUM(I30-H30)*24</f>
        <v>0.84999999997671694</v>
      </c>
      <c r="L30" s="181" t="s">
        <v>80</v>
      </c>
      <c r="M30" s="182" t="s">
        <v>80</v>
      </c>
      <c r="N30" s="182" t="s">
        <v>80</v>
      </c>
      <c r="O30" s="183" t="s">
        <v>17</v>
      </c>
      <c r="P30" s="184"/>
      <c r="Q30" s="35">
        <f t="shared" si="3"/>
        <v>1</v>
      </c>
      <c r="R30" s="35" t="str">
        <f t="shared" si="0"/>
        <v/>
      </c>
      <c r="S30" s="35" t="str">
        <f t="shared" si="1"/>
        <v/>
      </c>
      <c r="T30" s="36">
        <f t="shared" si="5"/>
        <v>1</v>
      </c>
      <c r="U30" s="30"/>
      <c r="V30" s="30"/>
      <c r="W30" s="30"/>
    </row>
    <row r="31" spans="1:23" s="34" customFormat="1" ht="15">
      <c r="A31" s="165">
        <v>17</v>
      </c>
      <c r="B31" s="166">
        <v>42233.642361111109</v>
      </c>
      <c r="C31" s="167">
        <v>42234.333333333336</v>
      </c>
      <c r="D31" s="159">
        <f>SUM(C31-B31)*24</f>
        <v>16.583333333430346</v>
      </c>
      <c r="E31" s="168" t="s">
        <v>68</v>
      </c>
      <c r="F31" s="169"/>
      <c r="G31" s="170"/>
      <c r="H31" s="175"/>
      <c r="I31" s="175"/>
      <c r="J31" s="176">
        <f>SUM(I31-H31)*24</f>
        <v>0</v>
      </c>
      <c r="K31" s="159">
        <f>SUM(I31-H31)*24</f>
        <v>0</v>
      </c>
      <c r="L31" s="177"/>
      <c r="M31" s="178"/>
      <c r="N31" s="178"/>
      <c r="O31" s="179" t="s">
        <v>21</v>
      </c>
      <c r="P31" s="180"/>
      <c r="Q31" s="35"/>
      <c r="R31" s="35">
        <f t="shared" si="0"/>
        <v>1</v>
      </c>
      <c r="S31" s="35" t="str">
        <f t="shared" si="1"/>
        <v/>
      </c>
      <c r="T31" s="36">
        <f t="shared" si="5"/>
        <v>1</v>
      </c>
      <c r="U31" s="30"/>
      <c r="V31" s="30"/>
      <c r="W31" s="30"/>
    </row>
    <row r="32" spans="1:23" s="34" customFormat="1">
      <c r="A32" s="145"/>
      <c r="B32" s="146"/>
      <c r="C32" s="146"/>
      <c r="D32" s="147">
        <f>SUM(D29:D31)</f>
        <v>139.56666666670935</v>
      </c>
      <c r="E32" s="148"/>
      <c r="F32" s="149"/>
      <c r="G32" s="150"/>
      <c r="H32" s="151"/>
      <c r="I32" s="151"/>
      <c r="J32" s="152">
        <f>SUM(J29:J31)</f>
        <v>4.4333333332906477</v>
      </c>
      <c r="K32" s="152">
        <f>SUM(K29:K31)</f>
        <v>4.4333333332906477</v>
      </c>
      <c r="L32" s="153"/>
      <c r="M32" s="154"/>
      <c r="N32" s="154"/>
      <c r="O32" s="155"/>
      <c r="P32" s="94"/>
      <c r="Q32" s="35" t="str">
        <f t="shared" si="3"/>
        <v/>
      </c>
      <c r="R32" s="35" t="str">
        <f t="shared" si="0"/>
        <v/>
      </c>
      <c r="S32" s="35" t="str">
        <f t="shared" si="1"/>
        <v/>
      </c>
      <c r="T32" s="36">
        <f t="shared" si="5"/>
        <v>0</v>
      </c>
      <c r="U32" s="30"/>
      <c r="V32" s="30"/>
      <c r="W32" s="30"/>
    </row>
    <row r="33" spans="1:29" s="34" customFormat="1" ht="15">
      <c r="A33" s="165">
        <v>18</v>
      </c>
      <c r="B33" s="166">
        <v>42235.334027777775</v>
      </c>
      <c r="C33" s="167">
        <v>42242</v>
      </c>
      <c r="D33" s="159">
        <f>SUM(C33-B33)*24</f>
        <v>159.98333333339542</v>
      </c>
      <c r="E33" s="168" t="s">
        <v>68</v>
      </c>
      <c r="F33" s="169"/>
      <c r="G33" s="170"/>
      <c r="H33" s="175"/>
      <c r="I33" s="175"/>
      <c r="J33" s="176">
        <f>SUM(I33-H33)*24</f>
        <v>0</v>
      </c>
      <c r="K33" s="159">
        <f>SUM(I33-H33)*24</f>
        <v>0</v>
      </c>
      <c r="L33" s="177"/>
      <c r="M33" s="178"/>
      <c r="N33" s="178"/>
      <c r="O33" s="179" t="s">
        <v>21</v>
      </c>
      <c r="P33" s="180"/>
      <c r="Q33" s="35"/>
      <c r="R33" s="35">
        <f t="shared" si="0"/>
        <v>1</v>
      </c>
      <c r="S33" s="35" t="str">
        <f t="shared" si="1"/>
        <v/>
      </c>
      <c r="T33" s="36">
        <f>SUM(Q33:S33)</f>
        <v>1</v>
      </c>
      <c r="U33" s="30"/>
      <c r="V33" s="30"/>
      <c r="W33" s="30"/>
    </row>
    <row r="34" spans="1:29" s="34" customFormat="1">
      <c r="A34" s="145"/>
      <c r="B34" s="146"/>
      <c r="C34" s="146"/>
      <c r="D34" s="147">
        <f>SUM(D33:D33)</f>
        <v>159.98333333339542</v>
      </c>
      <c r="E34" s="148"/>
      <c r="F34" s="149"/>
      <c r="G34" s="150"/>
      <c r="H34" s="151"/>
      <c r="I34" s="151"/>
      <c r="J34" s="152">
        <f>SUM(J33:J33)</f>
        <v>0</v>
      </c>
      <c r="K34" s="152">
        <f>SUM(K33:K33)</f>
        <v>0</v>
      </c>
      <c r="L34" s="153"/>
      <c r="M34" s="154"/>
      <c r="N34" s="154"/>
      <c r="O34" s="155"/>
      <c r="P34" s="94"/>
      <c r="Q34" s="35" t="str">
        <f t="shared" si="3"/>
        <v/>
      </c>
      <c r="R34" s="35" t="str">
        <f t="shared" si="0"/>
        <v/>
      </c>
      <c r="S34" s="35" t="str">
        <f t="shared" si="1"/>
        <v/>
      </c>
      <c r="T34" s="36">
        <f>SUM(Q34:S34)</f>
        <v>0</v>
      </c>
      <c r="U34" s="30"/>
      <c r="V34" s="30"/>
      <c r="W34" s="30"/>
    </row>
    <row r="35" spans="1:29">
      <c r="A35" s="85"/>
      <c r="B35" s="86"/>
      <c r="C35" s="86"/>
      <c r="D35" s="49"/>
      <c r="E35" s="87"/>
      <c r="F35" s="88"/>
      <c r="G35" s="89"/>
      <c r="H35" s="86"/>
      <c r="I35" s="86"/>
      <c r="J35" s="90"/>
      <c r="K35" s="90"/>
      <c r="L35" s="91"/>
      <c r="M35" s="92"/>
      <c r="N35" s="92"/>
      <c r="O35" s="93"/>
      <c r="P35" s="87"/>
      <c r="Q35" s="30"/>
      <c r="R35" s="30"/>
      <c r="S35" s="30"/>
      <c r="T35" s="30"/>
    </row>
    <row r="36" spans="1:29">
      <c r="A36" s="28"/>
      <c r="B36" s="14"/>
      <c r="C36" s="37" t="s">
        <v>25</v>
      </c>
      <c r="D36" s="38">
        <f>Q38</f>
        <v>7</v>
      </c>
      <c r="E36" s="16"/>
      <c r="F36" s="29"/>
      <c r="G36" s="18"/>
      <c r="H36" s="19"/>
      <c r="I36" s="19"/>
      <c r="J36" s="39" t="s">
        <v>26</v>
      </c>
      <c r="K36" s="40"/>
      <c r="L36" s="21"/>
      <c r="M36" s="22"/>
      <c r="N36" s="22"/>
      <c r="O36" s="41"/>
      <c r="P36" s="23"/>
      <c r="R36" s="12" t="str">
        <f>IF($L36="Scheduled",1,"")</f>
        <v/>
      </c>
    </row>
    <row r="37" spans="1:29">
      <c r="A37" s="28"/>
      <c r="B37" s="14"/>
      <c r="C37" s="37" t="s">
        <v>27</v>
      </c>
      <c r="D37" s="38">
        <f>D38-D36</f>
        <v>10</v>
      </c>
      <c r="E37" s="16"/>
      <c r="F37" s="29"/>
      <c r="G37" s="18"/>
      <c r="H37" s="19"/>
      <c r="I37" s="19"/>
      <c r="J37" s="15" t="s">
        <v>28</v>
      </c>
      <c r="K37" s="42" t="s">
        <v>13</v>
      </c>
      <c r="L37" s="21"/>
      <c r="M37" s="22"/>
      <c r="N37" s="22"/>
      <c r="O37" s="41"/>
      <c r="P37" s="23"/>
      <c r="R37" s="12" t="str">
        <f>IF($L37="Scheduled",1,"")</f>
        <v/>
      </c>
    </row>
    <row r="38" spans="1:29">
      <c r="A38" s="28"/>
      <c r="B38" s="14"/>
      <c r="C38" s="37" t="s">
        <v>29</v>
      </c>
      <c r="D38" s="43">
        <f>COUNT(A8:A35)</f>
        <v>17</v>
      </c>
      <c r="E38" s="16"/>
      <c r="F38" s="29"/>
      <c r="G38" s="18"/>
      <c r="H38" s="19"/>
      <c r="I38" s="19"/>
      <c r="J38" s="44">
        <f>SUM(J8:J35)/2</f>
        <v>11.350000000325963</v>
      </c>
      <c r="K38" s="44">
        <f>SUM(K8:K35)/2</f>
        <v>11.350000000325963</v>
      </c>
      <c r="L38" s="21"/>
      <c r="M38" s="22"/>
      <c r="N38" s="22"/>
      <c r="O38" s="41"/>
      <c r="P38" s="23"/>
      <c r="Q38" s="43">
        <f>SUM(Q1:Q35)</f>
        <v>7</v>
      </c>
      <c r="R38" s="43">
        <f>SUM(R1:R35)</f>
        <v>11</v>
      </c>
      <c r="S38" s="43">
        <f>SUM(S1:S35)</f>
        <v>0</v>
      </c>
      <c r="T38" s="43">
        <f>SUM(T1:T35)</f>
        <v>18</v>
      </c>
      <c r="AA38" s="30"/>
      <c r="AB38" s="30"/>
      <c r="AC38" s="30"/>
    </row>
    <row r="39" spans="1:29">
      <c r="A39" s="28"/>
      <c r="B39" s="14"/>
      <c r="C39" s="37"/>
      <c r="D39" s="15"/>
      <c r="E39" s="16"/>
      <c r="F39" s="29"/>
      <c r="G39" s="18"/>
      <c r="H39" s="19"/>
      <c r="I39" s="19"/>
      <c r="J39" s="15"/>
      <c r="K39" s="20"/>
      <c r="L39" s="21"/>
      <c r="M39" s="22"/>
      <c r="N39" s="22"/>
      <c r="O39" s="21"/>
      <c r="P39" s="23"/>
      <c r="Q39" s="12" t="s">
        <v>30</v>
      </c>
      <c r="R39" s="45" t="s">
        <v>21</v>
      </c>
      <c r="S39" s="12" t="s">
        <v>31</v>
      </c>
    </row>
    <row r="40" spans="1:29">
      <c r="A40" s="28"/>
      <c r="B40" s="14"/>
      <c r="C40" s="37" t="s">
        <v>32</v>
      </c>
      <c r="D40" s="15">
        <f>SUM(D6:D35)/2</f>
        <v>1708.6333333330695</v>
      </c>
      <c r="E40" s="46">
        <f>D40/24</f>
        <v>71.193055555544561</v>
      </c>
      <c r="F40" s="47" t="s">
        <v>33</v>
      </c>
      <c r="G40" s="18"/>
      <c r="H40" s="19"/>
      <c r="I40" s="19"/>
      <c r="J40" s="15"/>
      <c r="K40" s="20"/>
      <c r="L40" s="21"/>
      <c r="M40" s="22"/>
      <c r="N40" s="22"/>
      <c r="O40" s="21"/>
      <c r="P40" s="23"/>
      <c r="Q40" s="12" t="str">
        <f>IF($O42="Store Lost",1,"")</f>
        <v/>
      </c>
      <c r="T40" s="48"/>
      <c r="U40" s="30"/>
      <c r="V40" s="30"/>
      <c r="W40" s="30"/>
      <c r="X40" s="30"/>
      <c r="Y40" s="30"/>
      <c r="Z40" s="30"/>
    </row>
    <row r="41" spans="1:29">
      <c r="A41" s="28"/>
      <c r="B41" s="14"/>
      <c r="C41" s="37" t="s">
        <v>34</v>
      </c>
      <c r="D41" s="15">
        <f>J38</f>
        <v>11.350000000325963</v>
      </c>
      <c r="E41" s="16" t="s">
        <v>35</v>
      </c>
      <c r="F41" s="29"/>
      <c r="G41" s="18"/>
      <c r="H41" s="19"/>
      <c r="I41" s="19"/>
      <c r="J41" s="15"/>
      <c r="K41" s="20"/>
      <c r="L41" s="21"/>
      <c r="M41" s="22"/>
      <c r="N41" s="22"/>
      <c r="O41" s="21"/>
      <c r="P41" s="23"/>
      <c r="Q41" s="12" t="str">
        <f>IF($O43="Store Lost",1,"")</f>
        <v/>
      </c>
    </row>
    <row r="42" spans="1:29">
      <c r="A42" s="28"/>
      <c r="B42" s="14"/>
      <c r="C42" s="37" t="s">
        <v>36</v>
      </c>
      <c r="D42" s="43">
        <f>SUM(D40:D41)</f>
        <v>1719.9833333333954</v>
      </c>
      <c r="E42" s="46"/>
      <c r="F42" s="29"/>
      <c r="G42" s="18"/>
      <c r="H42" s="19"/>
      <c r="I42" s="19"/>
      <c r="J42" s="15"/>
      <c r="K42" s="20"/>
      <c r="L42" s="21"/>
      <c r="M42" s="22"/>
      <c r="N42" s="22"/>
      <c r="O42" s="21"/>
      <c r="P42" s="23"/>
      <c r="Q42" s="12" t="str">
        <f>IF($O44="Store Lost",1,"")</f>
        <v/>
      </c>
    </row>
    <row r="43" spans="1:29">
      <c r="A43" s="28"/>
      <c r="B43" s="14"/>
      <c r="C43" s="37"/>
      <c r="D43" s="49"/>
      <c r="E43" s="50"/>
      <c r="F43" s="29"/>
      <c r="G43" s="18"/>
      <c r="H43" s="15"/>
      <c r="I43" s="19"/>
      <c r="J43" s="15"/>
      <c r="K43" s="20"/>
      <c r="L43" s="21"/>
      <c r="M43" s="22"/>
      <c r="N43" s="22"/>
      <c r="O43" s="21"/>
      <c r="P43" s="23"/>
      <c r="Q43" s="51">
        <f>Q38+R38</f>
        <v>18</v>
      </c>
      <c r="R43" s="12" t="str">
        <f>IF($P45="Store Lost",1,"")</f>
        <v/>
      </c>
    </row>
    <row r="44" spans="1:29">
      <c r="A44" s="28"/>
      <c r="B44" s="14"/>
      <c r="C44" s="37"/>
      <c r="D44" s="49"/>
      <c r="E44" s="16"/>
      <c r="F44" s="29"/>
      <c r="G44" s="18"/>
      <c r="H44" s="19"/>
      <c r="I44" s="19"/>
      <c r="J44" s="15"/>
      <c r="K44" s="20"/>
      <c r="L44" s="21"/>
      <c r="M44" s="22"/>
      <c r="N44" s="22"/>
      <c r="O44" s="21"/>
      <c r="P44" s="23"/>
      <c r="Q44" s="23"/>
      <c r="R44" s="12" t="str">
        <f>IF($P46="Store Lost",1,"")</f>
        <v/>
      </c>
      <c r="S44" s="30"/>
      <c r="T44" s="30"/>
    </row>
    <row r="45" spans="1:29">
      <c r="A45" s="28"/>
      <c r="B45" s="14"/>
      <c r="C45" s="37" t="s">
        <v>37</v>
      </c>
      <c r="D45" s="52">
        <f>IF(D36,D40/D36,D40)</f>
        <v>244.09047619043849</v>
      </c>
      <c r="E45" s="16"/>
      <c r="F45" s="29"/>
      <c r="G45" s="18"/>
      <c r="J45" s="7"/>
      <c r="K45" s="53"/>
      <c r="Q45" s="23"/>
      <c r="R45" s="12" t="str">
        <f>IF($P47="Store Lost",1,"")</f>
        <v/>
      </c>
    </row>
    <row r="46" spans="1:29">
      <c r="A46" s="28"/>
      <c r="B46" s="14"/>
      <c r="C46" s="37" t="s">
        <v>38</v>
      </c>
      <c r="D46" s="49">
        <f>IF(D36,24/D45,0)</f>
        <v>9.8324196726443713E-2</v>
      </c>
      <c r="E46" s="54"/>
      <c r="F46" s="55"/>
      <c r="G46" s="56"/>
      <c r="K46" s="53"/>
      <c r="Q46" s="23"/>
      <c r="R46" s="12" t="e">
        <f>NA()</f>
        <v>#N/A</v>
      </c>
    </row>
    <row r="47" spans="1:29" ht="27.6" customHeight="1">
      <c r="A47" s="28"/>
      <c r="B47" s="14"/>
      <c r="C47" s="37" t="s">
        <v>39</v>
      </c>
      <c r="D47" s="57">
        <f>D40/D42</f>
        <v>0.99340109884766781</v>
      </c>
      <c r="E47" s="58"/>
      <c r="F47" s="29"/>
      <c r="G47" s="18"/>
      <c r="K47" s="53"/>
      <c r="Q47" s="23"/>
      <c r="R47" s="12" t="e">
        <f>NA()</f>
        <v>#N/A</v>
      </c>
    </row>
    <row r="48" spans="1:29">
      <c r="A48" s="28"/>
      <c r="B48" s="14"/>
      <c r="C48" s="14"/>
      <c r="D48" s="15"/>
      <c r="E48" s="16"/>
      <c r="F48" s="29"/>
      <c r="G48" s="18"/>
      <c r="K48" s="53"/>
      <c r="Q48" s="23"/>
      <c r="R48" s="12" t="str">
        <f t="shared" ref="R48:R57" si="6">IF($P50="Store Lost",1,"")</f>
        <v/>
      </c>
    </row>
    <row r="49" spans="1:29" s="59" customFormat="1">
      <c r="A49" s="28"/>
      <c r="B49" s="14"/>
      <c r="C49" s="14"/>
      <c r="D49" s="15"/>
      <c r="E49" s="16"/>
      <c r="F49" s="29"/>
      <c r="G49" s="18"/>
      <c r="H49" s="7"/>
      <c r="I49" s="7"/>
      <c r="J49" s="3"/>
      <c r="K49" s="53"/>
      <c r="L49" s="9"/>
      <c r="M49" s="10"/>
      <c r="N49" s="10"/>
      <c r="O49" s="9"/>
      <c r="P49" s="11"/>
      <c r="Q49" s="23"/>
      <c r="R49" s="12" t="str">
        <f t="shared" si="6"/>
        <v/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>
      <c r="A50" s="28"/>
      <c r="B50" s="14"/>
      <c r="C50" s="14"/>
      <c r="D50" s="15"/>
      <c r="E50" s="16"/>
      <c r="F50" s="29"/>
      <c r="G50" s="18"/>
      <c r="K50" s="53"/>
      <c r="Q50" s="23"/>
      <c r="R50" s="12" t="str">
        <f t="shared" si="6"/>
        <v/>
      </c>
    </row>
    <row r="51" spans="1:29">
      <c r="A51" s="28"/>
      <c r="B51" s="14"/>
      <c r="C51" s="14"/>
      <c r="D51" s="15"/>
      <c r="E51" s="16"/>
      <c r="F51" s="29"/>
      <c r="G51" s="18"/>
      <c r="K51" s="53"/>
      <c r="Q51" s="23"/>
      <c r="R51" s="12" t="str">
        <f t="shared" si="6"/>
        <v/>
      </c>
    </row>
    <row r="52" spans="1:29">
      <c r="A52" s="28"/>
      <c r="B52" s="14"/>
      <c r="C52" s="14"/>
      <c r="D52" s="15"/>
      <c r="E52" s="16"/>
      <c r="F52" s="29"/>
      <c r="G52" s="18"/>
      <c r="K52" s="53"/>
      <c r="Q52" s="23"/>
      <c r="R52" s="12" t="str">
        <f t="shared" si="6"/>
        <v/>
      </c>
    </row>
    <row r="53" spans="1:29">
      <c r="A53" s="28"/>
      <c r="B53" s="14"/>
      <c r="C53" s="14"/>
      <c r="D53" s="15"/>
      <c r="E53" s="16"/>
      <c r="F53" s="29"/>
      <c r="G53" s="18"/>
      <c r="K53" s="53"/>
      <c r="Q53" s="23"/>
      <c r="R53" s="12" t="str">
        <f t="shared" si="6"/>
        <v/>
      </c>
    </row>
    <row r="54" spans="1:29">
      <c r="A54" s="28"/>
      <c r="B54" s="14"/>
      <c r="C54" s="14"/>
      <c r="D54" s="15"/>
      <c r="E54" s="16"/>
      <c r="F54" s="29"/>
      <c r="G54" s="18"/>
      <c r="K54" s="53"/>
      <c r="Q54" s="23"/>
      <c r="R54" s="12" t="str">
        <f t="shared" si="6"/>
        <v/>
      </c>
    </row>
    <row r="55" spans="1:29">
      <c r="A55" s="28"/>
      <c r="B55" s="14"/>
      <c r="C55" s="14"/>
      <c r="D55" s="15"/>
      <c r="E55" s="16"/>
      <c r="F55" s="29"/>
      <c r="G55" s="18"/>
      <c r="K55" s="53"/>
      <c r="Q55" s="23"/>
      <c r="R55" s="12" t="str">
        <f t="shared" si="6"/>
        <v/>
      </c>
    </row>
    <row r="56" spans="1:29">
      <c r="A56" s="28"/>
      <c r="B56" s="14"/>
      <c r="C56" s="14"/>
      <c r="D56" s="15"/>
      <c r="E56" s="16"/>
      <c r="F56" s="29"/>
      <c r="G56" s="18"/>
      <c r="K56" s="53"/>
      <c r="Q56" s="23"/>
      <c r="R56" s="12" t="str">
        <f t="shared" si="6"/>
        <v/>
      </c>
    </row>
    <row r="57" spans="1:29">
      <c r="A57" s="28"/>
      <c r="B57" s="14"/>
      <c r="C57" s="14"/>
      <c r="D57" s="15"/>
      <c r="E57" s="16"/>
      <c r="F57" s="29"/>
      <c r="G57" s="18"/>
      <c r="K57" s="53"/>
      <c r="Q57" s="23"/>
      <c r="R57" s="12" t="str">
        <f t="shared" si="6"/>
        <v/>
      </c>
    </row>
    <row r="58" spans="1:29" s="60" customFormat="1">
      <c r="A58" s="28"/>
      <c r="B58" s="14"/>
      <c r="C58" s="14"/>
      <c r="D58" s="15"/>
      <c r="E58" s="16"/>
      <c r="F58" s="29"/>
      <c r="G58" s="18"/>
      <c r="H58" s="7"/>
      <c r="I58" s="7"/>
      <c r="J58" s="3"/>
      <c r="K58" s="53"/>
      <c r="L58" s="9"/>
      <c r="M58" s="10"/>
      <c r="N58" s="10"/>
      <c r="O58" s="9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s="30" customFormat="1">
      <c r="A59" s="28"/>
      <c r="B59" s="14"/>
      <c r="C59" s="14"/>
      <c r="D59" s="15"/>
      <c r="E59" s="16"/>
      <c r="F59" s="29"/>
      <c r="G59" s="18"/>
      <c r="H59" s="7"/>
      <c r="I59" s="7"/>
      <c r="J59" s="3"/>
      <c r="K59" s="53"/>
      <c r="L59" s="9"/>
      <c r="M59" s="10"/>
      <c r="N59" s="10"/>
      <c r="O59" s="9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59"/>
      <c r="AB59" s="59"/>
      <c r="AC59" s="59"/>
    </row>
    <row r="60" spans="1:29">
      <c r="A60" s="28"/>
      <c r="B60" s="14"/>
      <c r="C60" s="14"/>
      <c r="D60" s="15"/>
      <c r="E60" s="16"/>
      <c r="F60" s="29"/>
      <c r="G60" s="18"/>
      <c r="H60" s="19"/>
      <c r="I60" s="19"/>
      <c r="J60" s="15"/>
      <c r="K60" s="20"/>
      <c r="L60" s="21"/>
      <c r="M60" s="22"/>
      <c r="N60" s="22"/>
      <c r="O60" s="21"/>
      <c r="P60" s="23"/>
    </row>
    <row r="61" spans="1:29">
      <c r="A61" s="28"/>
      <c r="B61" s="14"/>
      <c r="C61" s="14"/>
      <c r="E61" s="16"/>
      <c r="F61" s="29"/>
      <c r="G61" s="18"/>
      <c r="H61" s="19"/>
      <c r="I61" s="19"/>
      <c r="L61" s="21"/>
      <c r="M61" s="22"/>
      <c r="N61" s="22"/>
      <c r="O61" s="21"/>
      <c r="P61" s="23"/>
      <c r="U61" s="59"/>
      <c r="V61" s="59"/>
      <c r="W61" s="59"/>
      <c r="X61" s="59"/>
      <c r="Y61" s="59"/>
      <c r="Z61" s="59"/>
    </row>
    <row r="62" spans="1:29">
      <c r="A62" s="28"/>
      <c r="B62" s="14"/>
      <c r="C62" s="14"/>
      <c r="E62" s="16"/>
      <c r="F62" s="29"/>
      <c r="G62" s="18"/>
      <c r="H62" s="19"/>
      <c r="I62" s="19"/>
      <c r="L62" s="21"/>
      <c r="M62" s="22"/>
      <c r="N62" s="22"/>
      <c r="O62" s="21"/>
      <c r="P62" s="23"/>
    </row>
    <row r="63" spans="1:29">
      <c r="A63" s="28"/>
      <c r="B63" s="14"/>
      <c r="C63" s="14"/>
      <c r="E63" s="16"/>
      <c r="F63" s="29"/>
      <c r="G63" s="18"/>
      <c r="H63" s="19"/>
      <c r="I63" s="19"/>
      <c r="L63" s="21"/>
      <c r="M63" s="22"/>
      <c r="N63" s="22"/>
      <c r="O63" s="21"/>
      <c r="P63" s="23"/>
    </row>
    <row r="64" spans="1:29">
      <c r="A64" s="28"/>
      <c r="B64" s="14"/>
      <c r="C64" s="14"/>
      <c r="F64" s="29"/>
      <c r="G64" s="18"/>
      <c r="H64" s="19"/>
      <c r="I64" s="19"/>
      <c r="L64" s="21"/>
      <c r="M64" s="22"/>
      <c r="N64" s="22"/>
      <c r="O64" s="21"/>
      <c r="P64" s="23"/>
    </row>
    <row r="65" spans="1:29">
      <c r="A65" s="28"/>
      <c r="B65" s="14"/>
      <c r="C65" s="14"/>
      <c r="F65" s="29"/>
      <c r="G65" s="18"/>
      <c r="H65" s="19"/>
      <c r="I65" s="19"/>
      <c r="L65" s="21"/>
      <c r="M65" s="22"/>
      <c r="N65" s="22"/>
      <c r="O65" s="21"/>
      <c r="P65" s="23"/>
      <c r="R65" s="59"/>
      <c r="S65" s="59"/>
      <c r="T65" s="59"/>
    </row>
    <row r="66" spans="1:29">
      <c r="B66" s="14"/>
      <c r="C66" s="14"/>
      <c r="F66" s="29"/>
      <c r="G66" s="18"/>
      <c r="H66" s="19"/>
      <c r="I66" s="19"/>
      <c r="L66" s="21"/>
      <c r="M66" s="22"/>
      <c r="N66" s="22"/>
      <c r="O66" s="21"/>
      <c r="P66" s="23"/>
    </row>
    <row r="67" spans="1:29">
      <c r="B67" s="14"/>
      <c r="C67" s="14"/>
      <c r="F67" s="29"/>
      <c r="G67" s="18"/>
      <c r="H67" s="19"/>
      <c r="I67" s="19"/>
      <c r="L67" s="21"/>
      <c r="M67" s="22"/>
      <c r="N67" s="22"/>
      <c r="O67" s="21"/>
      <c r="P67" s="23"/>
      <c r="Q67" s="12" t="str">
        <f t="shared" ref="Q67:Q98" si="7">IF($O69="Store Lost",1,"")</f>
        <v/>
      </c>
    </row>
    <row r="68" spans="1:29">
      <c r="B68" s="14"/>
      <c r="C68" s="14"/>
      <c r="F68" s="29"/>
      <c r="G68" s="18"/>
      <c r="H68" s="19"/>
      <c r="I68" s="19"/>
      <c r="L68" s="21"/>
      <c r="M68" s="22"/>
      <c r="N68" s="22"/>
      <c r="O68" s="21"/>
      <c r="P68" s="23"/>
      <c r="Q68" s="12" t="str">
        <f t="shared" si="7"/>
        <v/>
      </c>
      <c r="AA68" s="60"/>
      <c r="AB68" s="60"/>
      <c r="AC68" s="60"/>
    </row>
    <row r="69" spans="1:29">
      <c r="B69" s="14"/>
      <c r="C69" s="14"/>
      <c r="Q69" s="12" t="str">
        <f t="shared" si="7"/>
        <v/>
      </c>
      <c r="AA69" s="30"/>
      <c r="AB69" s="30"/>
      <c r="AC69" s="30"/>
    </row>
    <row r="70" spans="1:29">
      <c r="Q70" s="12" t="str">
        <f t="shared" si="7"/>
        <v/>
      </c>
      <c r="U70" s="60"/>
      <c r="V70" s="60"/>
      <c r="W70" s="60"/>
      <c r="X70" s="60"/>
      <c r="Y70" s="60"/>
      <c r="Z70" s="60"/>
    </row>
    <row r="71" spans="1:29">
      <c r="Q71" s="12" t="str">
        <f t="shared" si="7"/>
        <v/>
      </c>
      <c r="U71" s="30"/>
      <c r="V71" s="30"/>
      <c r="W71" s="30"/>
      <c r="X71" s="30"/>
      <c r="Y71" s="30"/>
      <c r="Z71" s="30"/>
    </row>
    <row r="72" spans="1:29" s="59" customFormat="1">
      <c r="A72" s="1"/>
      <c r="B72" s="2"/>
      <c r="C72" s="2"/>
      <c r="D72" s="3"/>
      <c r="E72" s="4"/>
      <c r="F72" s="5"/>
      <c r="G72" s="6"/>
      <c r="H72" s="7"/>
      <c r="I72" s="7"/>
      <c r="J72" s="3"/>
      <c r="K72" s="8"/>
      <c r="L72" s="9"/>
      <c r="M72" s="10"/>
      <c r="N72" s="10"/>
      <c r="O72" s="9"/>
      <c r="P72" s="11"/>
      <c r="Q72" s="12" t="str">
        <f t="shared" si="7"/>
        <v/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>
      <c r="Q73" s="12" t="str">
        <f t="shared" si="7"/>
        <v/>
      </c>
    </row>
    <row r="74" spans="1:29">
      <c r="Q74" s="12" t="str">
        <f t="shared" si="7"/>
        <v/>
      </c>
      <c r="R74" s="60"/>
      <c r="S74" s="60"/>
      <c r="T74" s="60"/>
    </row>
    <row r="75" spans="1:29">
      <c r="Q75" s="12" t="str">
        <f t="shared" si="7"/>
        <v/>
      </c>
      <c r="R75" s="30"/>
      <c r="S75" s="30"/>
      <c r="T75" s="30"/>
    </row>
    <row r="76" spans="1:29">
      <c r="Q76" s="12" t="str">
        <f t="shared" si="7"/>
        <v/>
      </c>
    </row>
    <row r="77" spans="1:29">
      <c r="Q77" s="12" t="str">
        <f t="shared" si="7"/>
        <v/>
      </c>
    </row>
    <row r="78" spans="1:29">
      <c r="Q78" s="12" t="str">
        <f t="shared" si="7"/>
        <v/>
      </c>
    </row>
    <row r="79" spans="1:29">
      <c r="Q79" s="12" t="str">
        <f t="shared" si="7"/>
        <v/>
      </c>
    </row>
    <row r="80" spans="1:29">
      <c r="Q80" s="12" t="str">
        <f t="shared" si="7"/>
        <v/>
      </c>
    </row>
    <row r="81" spans="1:29">
      <c r="Q81" s="12" t="str">
        <f t="shared" si="7"/>
        <v/>
      </c>
    </row>
    <row r="82" spans="1:29">
      <c r="Q82" s="12" t="str">
        <f t="shared" si="7"/>
        <v/>
      </c>
      <c r="AA82" s="59"/>
      <c r="AB82" s="59"/>
      <c r="AC82" s="59"/>
    </row>
    <row r="83" spans="1:29">
      <c r="Q83" s="12" t="str">
        <f t="shared" si="7"/>
        <v/>
      </c>
    </row>
    <row r="84" spans="1:29">
      <c r="Q84" s="12" t="str">
        <f t="shared" si="7"/>
        <v/>
      </c>
      <c r="U84" s="59"/>
      <c r="V84" s="59"/>
      <c r="W84" s="59"/>
      <c r="X84" s="59"/>
      <c r="Y84" s="59"/>
      <c r="Z84" s="59"/>
    </row>
    <row r="85" spans="1:29" s="59" customFormat="1">
      <c r="A85" s="1"/>
      <c r="B85" s="2"/>
      <c r="C85" s="2"/>
      <c r="D85" s="3"/>
      <c r="E85" s="4"/>
      <c r="F85" s="5"/>
      <c r="G85" s="6"/>
      <c r="H85" s="7"/>
      <c r="I85" s="7"/>
      <c r="J85" s="3"/>
      <c r="K85" s="8"/>
      <c r="L85" s="9"/>
      <c r="M85" s="10"/>
      <c r="N85" s="10"/>
      <c r="O85" s="9"/>
      <c r="P85" s="11"/>
      <c r="Q85" s="12" t="str">
        <f t="shared" si="7"/>
        <v/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s="30" customFormat="1">
      <c r="A86" s="1"/>
      <c r="B86" s="2"/>
      <c r="C86" s="2"/>
      <c r="D86" s="3"/>
      <c r="E86" s="4"/>
      <c r="F86" s="5"/>
      <c r="G86" s="6"/>
      <c r="H86" s="7"/>
      <c r="I86" s="7"/>
      <c r="J86" s="3"/>
      <c r="K86" s="8"/>
      <c r="L86" s="9"/>
      <c r="M86" s="10"/>
      <c r="N86" s="10"/>
      <c r="O86" s="9"/>
      <c r="P86" s="11"/>
      <c r="Q86" s="12" t="str">
        <f t="shared" si="7"/>
        <v/>
      </c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s="59" customFormat="1">
      <c r="A87" s="1"/>
      <c r="B87" s="2"/>
      <c r="C87" s="2"/>
      <c r="D87" s="3"/>
      <c r="E87" s="4"/>
      <c r="F87" s="5"/>
      <c r="G87" s="6"/>
      <c r="H87" s="7"/>
      <c r="I87" s="7"/>
      <c r="J87" s="3"/>
      <c r="K87" s="8"/>
      <c r="L87" s="9"/>
      <c r="M87" s="10"/>
      <c r="N87" s="10"/>
      <c r="O87" s="9"/>
      <c r="P87" s="11"/>
      <c r="Q87" s="12" t="str">
        <f t="shared" si="7"/>
        <v/>
      </c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>
      <c r="Q88" s="12" t="str">
        <f t="shared" si="7"/>
        <v/>
      </c>
      <c r="R88" s="59"/>
      <c r="S88" s="59"/>
      <c r="T88" s="59"/>
    </row>
    <row r="89" spans="1:29">
      <c r="Q89" s="12" t="str">
        <f t="shared" si="7"/>
        <v/>
      </c>
    </row>
    <row r="90" spans="1:29">
      <c r="Q90" s="12" t="str">
        <f t="shared" si="7"/>
        <v/>
      </c>
    </row>
    <row r="91" spans="1:29">
      <c r="Q91" s="12" t="str">
        <f t="shared" si="7"/>
        <v/>
      </c>
    </row>
    <row r="92" spans="1:29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 t="str">
        <f t="shared" si="7"/>
        <v/>
      </c>
    </row>
    <row r="93" spans="1:29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 t="str">
        <f t="shared" si="7"/>
        <v/>
      </c>
    </row>
    <row r="94" spans="1:29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 t="str">
        <f t="shared" si="7"/>
        <v/>
      </c>
    </row>
    <row r="95" spans="1:29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 t="str">
        <f t="shared" si="7"/>
        <v/>
      </c>
      <c r="AA95" s="59"/>
      <c r="AB95" s="59"/>
      <c r="AC95" s="59"/>
    </row>
    <row r="96" spans="1:29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 t="str">
        <f t="shared" si="7"/>
        <v/>
      </c>
      <c r="AA96" s="30"/>
      <c r="AB96" s="30"/>
      <c r="AC96" s="30"/>
    </row>
    <row r="97" spans="1:29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 t="str">
        <f t="shared" si="7"/>
        <v/>
      </c>
      <c r="U97" s="59"/>
      <c r="V97" s="59"/>
      <c r="W97" s="59"/>
      <c r="X97" s="59"/>
      <c r="Y97" s="59"/>
      <c r="Z97" s="59"/>
      <c r="AA97" s="59"/>
      <c r="AB97" s="59"/>
      <c r="AC97" s="59"/>
    </row>
    <row r="98" spans="1:29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 t="str">
        <f t="shared" si="7"/>
        <v/>
      </c>
      <c r="U98" s="30"/>
      <c r="V98" s="30"/>
      <c r="W98" s="30"/>
      <c r="X98" s="30"/>
      <c r="Y98" s="30"/>
      <c r="Z98" s="30"/>
    </row>
    <row r="99" spans="1:2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 t="str">
        <f t="shared" ref="Q99:Q124" si="8">IF($O101="Store Lost",1,"")</f>
        <v/>
      </c>
      <c r="U99" s="59"/>
      <c r="V99" s="59"/>
      <c r="W99" s="59"/>
      <c r="X99" s="59"/>
      <c r="Y99" s="59"/>
      <c r="Z99" s="59"/>
    </row>
    <row r="100" spans="1:29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 t="str">
        <f t="shared" si="8"/>
        <v/>
      </c>
    </row>
    <row r="101" spans="1:29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 t="str">
        <f t="shared" si="8"/>
        <v/>
      </c>
      <c r="R101" s="59"/>
      <c r="S101" s="59"/>
      <c r="T101" s="59"/>
    </row>
    <row r="102" spans="1:29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 t="str">
        <f t="shared" si="8"/>
        <v/>
      </c>
      <c r="R102" s="30"/>
      <c r="S102" s="30"/>
      <c r="T102" s="30"/>
    </row>
    <row r="103" spans="1:29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 t="str">
        <f t="shared" si="8"/>
        <v/>
      </c>
      <c r="R103" s="59"/>
      <c r="S103" s="59"/>
      <c r="T103" s="59"/>
    </row>
    <row r="104" spans="1:29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 t="str">
        <f t="shared" si="8"/>
        <v/>
      </c>
    </row>
    <row r="105" spans="1:29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 t="str">
        <f t="shared" si="8"/>
        <v/>
      </c>
    </row>
    <row r="106" spans="1:29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 t="str">
        <f t="shared" si="8"/>
        <v/>
      </c>
    </row>
    <row r="107" spans="1:29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 t="str">
        <f t="shared" si="8"/>
        <v/>
      </c>
    </row>
    <row r="108" spans="1:29" s="59" customFormat="1">
      <c r="A108" s="1"/>
      <c r="B108" s="2"/>
      <c r="C108" s="2"/>
      <c r="D108" s="3"/>
      <c r="E108" s="4"/>
      <c r="F108" s="5"/>
      <c r="G108" s="6"/>
      <c r="H108" s="7"/>
      <c r="I108" s="7"/>
      <c r="J108" s="3"/>
      <c r="K108" s="8"/>
      <c r="L108" s="9"/>
      <c r="M108" s="10"/>
      <c r="N108" s="10"/>
      <c r="O108" s="9"/>
      <c r="P108" s="11"/>
      <c r="Q108" s="12" t="str">
        <f t="shared" si="8"/>
        <v/>
      </c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>
      <c r="Q109" s="12" t="str">
        <f t="shared" si="8"/>
        <v/>
      </c>
    </row>
    <row r="110" spans="1:29">
      <c r="Q110" s="12" t="str">
        <f t="shared" si="8"/>
        <v/>
      </c>
    </row>
    <row r="111" spans="1:29">
      <c r="Q111" s="12" t="str">
        <f t="shared" si="8"/>
        <v/>
      </c>
    </row>
    <row r="112" spans="1:29">
      <c r="Q112" s="12" t="str">
        <f t="shared" si="8"/>
        <v/>
      </c>
    </row>
    <row r="113" spans="1:29">
      <c r="Q113" s="12" t="str">
        <f t="shared" si="8"/>
        <v/>
      </c>
    </row>
    <row r="114" spans="1:29">
      <c r="Q114" s="12" t="str">
        <f t="shared" si="8"/>
        <v/>
      </c>
    </row>
    <row r="115" spans="1:29">
      <c r="Q115" s="12" t="str">
        <f t="shared" si="8"/>
        <v/>
      </c>
    </row>
    <row r="116" spans="1:29">
      <c r="Q116" s="12" t="str">
        <f t="shared" si="8"/>
        <v/>
      </c>
    </row>
    <row r="117" spans="1:29">
      <c r="Q117" s="12" t="str">
        <f t="shared" si="8"/>
        <v/>
      </c>
    </row>
    <row r="118" spans="1:29">
      <c r="Q118" s="12" t="str">
        <f t="shared" si="8"/>
        <v/>
      </c>
      <c r="AA118" s="59"/>
      <c r="AB118" s="59"/>
      <c r="AC118" s="59"/>
    </row>
    <row r="119" spans="1:29">
      <c r="Q119" s="12" t="str">
        <f t="shared" si="8"/>
        <v/>
      </c>
    </row>
    <row r="120" spans="1:29">
      <c r="Q120" s="12" t="str">
        <f t="shared" si="8"/>
        <v/>
      </c>
      <c r="U120" s="59"/>
      <c r="V120" s="59"/>
      <c r="W120" s="59"/>
      <c r="X120" s="59"/>
      <c r="Y120" s="59"/>
      <c r="Z120" s="59"/>
    </row>
    <row r="121" spans="1:29">
      <c r="Q121" s="12" t="str">
        <f t="shared" si="8"/>
        <v/>
      </c>
    </row>
    <row r="122" spans="1:29">
      <c r="Q122" s="12" t="str">
        <f t="shared" si="8"/>
        <v/>
      </c>
    </row>
    <row r="123" spans="1:29">
      <c r="Q123" s="12" t="str">
        <f t="shared" si="8"/>
        <v/>
      </c>
    </row>
    <row r="124" spans="1:29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 t="str">
        <f t="shared" si="8"/>
        <v/>
      </c>
      <c r="R124" s="59"/>
      <c r="S124" s="59"/>
      <c r="T124" s="59"/>
    </row>
    <row r="128" spans="1:29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>
        <f>COUNT(Q35:Q124)</f>
        <v>2</v>
      </c>
    </row>
  </sheetData>
  <mergeCells count="1">
    <mergeCell ref="A2:I2"/>
  </mergeCells>
  <phoneticPr fontId="0" type="noConversion"/>
  <pageMargins left="0" right="0" top="0" bottom="0" header="0.26180555599999999" footer="0.15"/>
  <pageSetup paperSize="119" scale="84" firstPageNumber="0" fitToHeight="0" orientation="landscape" horizontalDpi="300" verticalDpi="300" r:id="rId1"/>
  <headerFooter alignWithMargins="0">
    <oddFooter>&amp;RUpdated &amp;D</oddFooter>
  </headerFooter>
  <rowBreaks count="1" manualBreakCount="1"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2"/>
  <sheetViews>
    <sheetView zoomScale="75" zoomScaleNormal="75" workbookViewId="0">
      <selection activeCell="A4" sqref="A4"/>
    </sheetView>
  </sheetViews>
  <sheetFormatPr defaultRowHeight="12.75"/>
  <cols>
    <col min="1" max="1" width="21.28515625" customWidth="1"/>
    <col min="2" max="2" width="18.85546875" customWidth="1"/>
    <col min="3" max="7" width="9.85546875" customWidth="1"/>
    <col min="8" max="8" width="11.5703125" customWidth="1"/>
    <col min="9" max="13" width="13.85546875" customWidth="1"/>
    <col min="14" max="14" width="11.5703125" customWidth="1"/>
    <col min="15" max="15" width="19.28515625" customWidth="1"/>
    <col min="16" max="17" width="22.28515625" customWidth="1"/>
    <col min="18" max="19" width="12" customWidth="1"/>
    <col min="20" max="21" width="22.28515625" customWidth="1"/>
    <col min="22" max="22" width="4" customWidth="1"/>
    <col min="23" max="24" width="22.28515625" customWidth="1"/>
    <col min="25" max="25" width="12" customWidth="1"/>
    <col min="26" max="27" width="21.140625" customWidth="1"/>
    <col min="28" max="28" width="4" customWidth="1"/>
    <col min="29" max="30" width="21.140625" bestFit="1" customWidth="1"/>
    <col min="31" max="31" width="4.42578125" customWidth="1"/>
    <col min="32" max="33" width="21.140625" bestFit="1" customWidth="1"/>
    <col min="34" max="34" width="5" customWidth="1"/>
    <col min="35" max="36" width="21.140625" bestFit="1" customWidth="1"/>
    <col min="37" max="37" width="10.28515625" bestFit="1" customWidth="1"/>
  </cols>
  <sheetData>
    <row r="3" spans="1:20">
      <c r="A3" s="83"/>
      <c r="B3" s="114" t="s">
        <v>14</v>
      </c>
      <c r="C3" s="113"/>
      <c r="D3" s="113"/>
      <c r="E3" s="113"/>
      <c r="F3" s="113"/>
      <c r="G3" s="115"/>
    </row>
    <row r="4" spans="1:20">
      <c r="A4" s="114" t="s">
        <v>40</v>
      </c>
      <c r="B4" s="83" t="s">
        <v>22</v>
      </c>
      <c r="C4" s="116" t="s">
        <v>23</v>
      </c>
      <c r="D4" s="116" t="s">
        <v>80</v>
      </c>
      <c r="E4" s="116" t="s">
        <v>71</v>
      </c>
      <c r="F4" s="116" t="s">
        <v>65</v>
      </c>
      <c r="G4" s="117" t="s">
        <v>58</v>
      </c>
    </row>
    <row r="5" spans="1:20">
      <c r="A5" s="83" t="s">
        <v>41</v>
      </c>
      <c r="B5" s="118">
        <v>0</v>
      </c>
      <c r="C5" s="119">
        <v>0</v>
      </c>
      <c r="D5" s="119">
        <v>0</v>
      </c>
      <c r="E5" s="119">
        <v>0</v>
      </c>
      <c r="F5" s="119">
        <v>0</v>
      </c>
      <c r="G5" s="120">
        <v>0</v>
      </c>
    </row>
    <row r="6" spans="1:20">
      <c r="A6" s="122" t="s">
        <v>42</v>
      </c>
      <c r="B6" s="123">
        <v>2</v>
      </c>
      <c r="C6" s="74">
        <v>2</v>
      </c>
      <c r="D6" s="74">
        <v>1</v>
      </c>
      <c r="E6" s="74">
        <v>1</v>
      </c>
      <c r="F6" s="74">
        <v>1</v>
      </c>
      <c r="G6" s="124">
        <v>7</v>
      </c>
    </row>
    <row r="7" spans="1:20">
      <c r="A7" s="130" t="s">
        <v>64</v>
      </c>
      <c r="B7" s="161">
        <v>5.0500000000465661</v>
      </c>
      <c r="C7" s="131">
        <v>1.5166666668956168</v>
      </c>
      <c r="D7" s="158">
        <v>0.84999999997671694</v>
      </c>
      <c r="E7" s="158">
        <v>3.5666666667675599</v>
      </c>
      <c r="F7" s="158">
        <v>0.36666666663950309</v>
      </c>
      <c r="G7" s="132">
        <v>11.350000000325963</v>
      </c>
    </row>
    <row r="12" spans="1:20" ht="13.5" thickBot="1"/>
    <row r="13" spans="1:20">
      <c r="B13" s="61" t="s">
        <v>23</v>
      </c>
      <c r="C13" s="62" t="s">
        <v>45</v>
      </c>
      <c r="D13" s="62" t="s">
        <v>22</v>
      </c>
      <c r="E13" s="62" t="s">
        <v>46</v>
      </c>
      <c r="F13" s="173" t="s">
        <v>67</v>
      </c>
      <c r="G13" s="62" t="s">
        <v>47</v>
      </c>
      <c r="H13" s="62" t="s">
        <v>48</v>
      </c>
      <c r="I13" s="62" t="s">
        <v>49</v>
      </c>
      <c r="J13" s="62" t="s">
        <v>50</v>
      </c>
      <c r="K13" s="173" t="s">
        <v>69</v>
      </c>
      <c r="L13" s="62" t="s">
        <v>52</v>
      </c>
      <c r="M13" s="62" t="s">
        <v>53</v>
      </c>
      <c r="N13" s="62" t="s">
        <v>54</v>
      </c>
      <c r="O13" s="62" t="s">
        <v>55</v>
      </c>
      <c r="P13" s="63" t="s">
        <v>56</v>
      </c>
      <c r="Q13" s="64" t="s">
        <v>57</v>
      </c>
      <c r="R13" s="172" t="s">
        <v>66</v>
      </c>
      <c r="S13" s="64" t="s">
        <v>58</v>
      </c>
      <c r="T13" s="65" t="s">
        <v>59</v>
      </c>
    </row>
    <row r="15" spans="1:20" s="69" customFormat="1">
      <c r="A15" s="162" t="s">
        <v>78</v>
      </c>
      <c r="B15" s="67">
        <f>IF(B17,SUM(B17/B26),"")</f>
        <v>8.8179149036069849E-4</v>
      </c>
      <c r="C15" s="67" t="e">
        <f>IF(C17,SUM(C17/B26),"")</f>
        <v>#REF!</v>
      </c>
      <c r="D15" s="67">
        <f>IF(D17,SUM(D17/B26),"")</f>
        <v>2.9360749619936535E-3</v>
      </c>
      <c r="E15" s="67" t="e">
        <f>IF(E17,SUM(E17/B26),"")</f>
        <v>#REF!</v>
      </c>
      <c r="F15" s="67">
        <f>IF(F17,SUM(F17/B26),0)</f>
        <v>4.9419083516895682E-4</v>
      </c>
      <c r="G15" s="67" t="str">
        <f>IF(G17,SUM(G17/B26),"")</f>
        <v/>
      </c>
      <c r="H15" s="67" t="e">
        <f>IF(H17,SUM(H17/B26),"")</f>
        <v>#REF!</v>
      </c>
      <c r="I15" s="67">
        <f>IF(I17,SUM(I17/B26),"")</f>
        <v>2.1318036025900824E-4</v>
      </c>
      <c r="J15" s="67" t="str">
        <f>IF(J17,SUM(J17/B26),"")</f>
        <v/>
      </c>
      <c r="K15" s="67" t="e">
        <f>IF(K17,SUM(K17/B26),"")</f>
        <v>#REF!</v>
      </c>
      <c r="L15" s="67" t="str">
        <f>IF(L17,SUM(L17/B26),"")</f>
        <v/>
      </c>
      <c r="M15" s="67" t="str">
        <f>IF(M17,SUM(M17/B26),"")</f>
        <v/>
      </c>
      <c r="N15" s="67" t="e">
        <f>IF(K17,SUM(K17/B26),"")</f>
        <v>#REF!</v>
      </c>
      <c r="O15" s="67"/>
      <c r="P15" s="67" t="e">
        <f>IF(P17,SUM(P17/B26),"")</f>
        <v>#REF!</v>
      </c>
      <c r="Q15" s="67" t="e">
        <f>IF(Q17,SUM(Q17/B26),"")</f>
        <v>#REF!</v>
      </c>
      <c r="R15" s="67"/>
      <c r="S15" s="67">
        <f>IF(S17,SUM(S17/B26),"")</f>
        <v>6.598901152332224E-3</v>
      </c>
      <c r="T15" s="68" t="e">
        <f>IF(T17,SUM(T17/L13),"")</f>
        <v>#REF!</v>
      </c>
    </row>
    <row r="16" spans="1:20">
      <c r="A16" s="66" t="s">
        <v>60</v>
      </c>
      <c r="B16" s="70">
        <f>[1]reliabilitySummary!$B$7</f>
        <v>5.4000000000000003E-3</v>
      </c>
      <c r="C16" s="70">
        <f>[1]reliabilitySummary!$B$8</f>
        <v>1.2000000000000001E-3</v>
      </c>
      <c r="D16" s="70">
        <f>[1]reliabilitySummary!$B$9</f>
        <v>5.4000000000000003E-3</v>
      </c>
      <c r="E16" s="70">
        <f>[1]reliabilitySummary!$B$10</f>
        <v>3.0000000000000001E-3</v>
      </c>
      <c r="F16" s="70">
        <v>2.8E-3</v>
      </c>
      <c r="G16" s="70">
        <v>2.8E-3</v>
      </c>
      <c r="H16" s="70">
        <f>[1]reliabilitySummary!$B$16</f>
        <v>3.6000000000000003E-3</v>
      </c>
      <c r="I16" s="70">
        <f>[1]reliabilitySummary!$B$18</f>
        <v>1.2000000000000001E-3</v>
      </c>
      <c r="J16" s="70">
        <f>[1]reliabilitySummary!$B$19</f>
        <v>0</v>
      </c>
      <c r="K16" s="70">
        <f>[1]reliabilitySummary!$B$20</f>
        <v>6.0000000000000006E-4</v>
      </c>
      <c r="L16" s="70">
        <f>[1]reliabilitySummary!$B$24</f>
        <v>6.0000000000000006E-4</v>
      </c>
      <c r="M16" s="70">
        <f>[1]reliabilitySummary!$B$25</f>
        <v>1.8000000000000002E-3</v>
      </c>
      <c r="N16" s="70">
        <f>[1]reliabilitySummary!$B$25</f>
        <v>1.8000000000000002E-3</v>
      </c>
      <c r="O16" s="70">
        <f>[1]reliabilitySummary!$B$27</f>
        <v>1.8000000000000002E-3</v>
      </c>
      <c r="P16" s="70">
        <f>[1]reliabilitySummary!$B$11</f>
        <v>1.2000000000000001E-3</v>
      </c>
      <c r="Q16" s="70">
        <f>[1]reliabilitySummary!$B$28</f>
        <v>6.0000000000000006E-4</v>
      </c>
      <c r="R16" s="70"/>
      <c r="S16" s="70">
        <v>0.03</v>
      </c>
      <c r="T16" s="71"/>
    </row>
    <row r="17" spans="1:20" s="69" customFormat="1">
      <c r="A17" s="66" t="s">
        <v>61</v>
      </c>
      <c r="B17" s="68">
        <f>GETPIVOTDATA("Sum of System
Length",$A$3,"Group","RF")</f>
        <v>1.5166666668956168</v>
      </c>
      <c r="C17" s="68" t="e">
        <f>GETPIVOTDATA("Sum of System
Length",$A$3,"Group","DIA")</f>
        <v>#REF!</v>
      </c>
      <c r="D17" s="68">
        <f>GETPIVOTDATA("Sum of System
Length",$A$3,"Group","PS")</f>
        <v>5.0500000000465661</v>
      </c>
      <c r="E17" s="68" t="e">
        <f>GETPIVOTDATA("Sum of System
Length",$A$3,"Group","CTL")</f>
        <v>#REF!</v>
      </c>
      <c r="F17" s="68">
        <f>GETPIVOTDATA("Sum of System
Length",$A$3,"Group","SI")</f>
        <v>0.84999999997671694</v>
      </c>
      <c r="G17" s="68"/>
      <c r="H17" s="68" t="e">
        <f>GETPIVOTDATA("Sum of System
Length",$A$3,"Group","MOM")</f>
        <v>#REF!</v>
      </c>
      <c r="I17" s="68">
        <f>GETPIVOTDATA("Sum of System
Length",$A$3,"Group","AOP")</f>
        <v>0.36666666663950309</v>
      </c>
      <c r="J17" s="68"/>
      <c r="K17" s="68" t="e">
        <f>GETPIVOTDATA("Sum of System
Length",$A$3,"Group","UES")</f>
        <v>#REF!</v>
      </c>
      <c r="L17" s="68"/>
      <c r="M17" s="68"/>
      <c r="N17" s="68" t="e">
        <f>GETPIVOTDATA("Sum of System
Length",$A$3,"Group","FMS")</f>
        <v>#REF!</v>
      </c>
      <c r="O17" s="68">
        <f>GETPIVOTDATA("Sum of System
Length",$A$3,"Group","OTH")</f>
        <v>3.5666666667675599</v>
      </c>
      <c r="P17" s="68" t="e">
        <f>GETPIVOTDATA("Sum of System
Length",$A$3,"Group","IT")</f>
        <v>#REF!</v>
      </c>
      <c r="Q17" s="68" t="e">
        <f>GETPIVOTDATA("Sum of System
Length",$A$3,"Group","UNK")</f>
        <v>#REF!</v>
      </c>
      <c r="R17" s="68"/>
      <c r="S17" s="72">
        <f>'Main Data'!J38</f>
        <v>11.350000000325963</v>
      </c>
      <c r="T17" s="73" t="e">
        <f>SUM(B17:Q17)</f>
        <v>#REF!</v>
      </c>
    </row>
    <row r="18" spans="1:20">
      <c r="A18" s="75" t="s">
        <v>62</v>
      </c>
      <c r="B18">
        <f>GETPIVOTDATA("Sum - Store Lost",$A$3,"Group","Rf")</f>
        <v>2</v>
      </c>
      <c r="C18" t="e">
        <f>GETPIVOTDATA("Sum - Store Lost",$A$3,"Group","DIA")</f>
        <v>#REF!</v>
      </c>
      <c r="D18">
        <f>GETPIVOTDATA("Sum - Store Lost",$A$3,"Group","PS")</f>
        <v>2</v>
      </c>
      <c r="E18" t="e">
        <f>GETPIVOTDATA("Sum - Store Lost",$A$3,"Group","CTL")</f>
        <v>#REF!</v>
      </c>
      <c r="F18">
        <f>GETPIVOTDATA("Sum - Store Lost",$A$3,"Group","SI")</f>
        <v>1</v>
      </c>
      <c r="H18" t="e">
        <f>GETPIVOTDATA("Sum - Store Lost",$A$3,"Group","MOM")</f>
        <v>#REF!</v>
      </c>
      <c r="I18">
        <f>GETPIVOTDATA("Sum - Store Lost",$A$3,"Group","AOP")</f>
        <v>1</v>
      </c>
      <c r="K18" t="e">
        <f>GETPIVOTDATA("Sum - Store Lost",$A$3,"Group","UES")</f>
        <v>#REF!</v>
      </c>
      <c r="N18" t="e">
        <f>GETPIVOTDATA("Sum - Store Lost",$A$3,"Group","FMS")</f>
        <v>#REF!</v>
      </c>
      <c r="O18">
        <f>GETPIVOTDATA("Sum - Store Lost",$A$3,"Group","OTH")</f>
        <v>1</v>
      </c>
      <c r="P18" t="e">
        <f>GETPIVOTDATA("Sum - Store Lost",$A$3,"Group","IT")</f>
        <v>#REF!</v>
      </c>
      <c r="Q18" t="e">
        <f>GETPIVOTDATA("Sum - Store Lost",$A$3,"Group","UNK")</f>
        <v>#REF!</v>
      </c>
      <c r="S18" s="72" t="e">
        <f>SUM(B18:R18)</f>
        <v>#REF!</v>
      </c>
    </row>
    <row r="19" spans="1:20">
      <c r="A19" s="75"/>
      <c r="B19" s="74"/>
      <c r="C19" s="74"/>
      <c r="D19" s="74"/>
      <c r="E19" s="74"/>
      <c r="G19" s="74"/>
      <c r="H19" s="74"/>
      <c r="I19" s="74"/>
      <c r="M19" s="74"/>
      <c r="O19" s="74"/>
      <c r="T19" s="72"/>
    </row>
    <row r="20" spans="1:20" ht="13.5" thickBot="1">
      <c r="A20" s="75"/>
      <c r="B20" s="74"/>
      <c r="C20" s="74"/>
      <c r="D20" s="74"/>
      <c r="E20" s="74"/>
      <c r="G20" s="74"/>
      <c r="H20" s="74"/>
      <c r="I20" s="74"/>
      <c r="M20" s="74"/>
      <c r="O20" s="74"/>
      <c r="T20" s="72"/>
    </row>
    <row r="21" spans="1:20">
      <c r="B21" s="61" t="s">
        <v>23</v>
      </c>
      <c r="C21" s="62" t="s">
        <v>45</v>
      </c>
      <c r="D21" s="62" t="s">
        <v>22</v>
      </c>
      <c r="E21" s="62" t="s">
        <v>46</v>
      </c>
      <c r="F21" s="173" t="s">
        <v>67</v>
      </c>
      <c r="G21" s="62" t="s">
        <v>47</v>
      </c>
      <c r="H21" s="62" t="s">
        <v>24</v>
      </c>
      <c r="I21" s="62" t="s">
        <v>49</v>
      </c>
      <c r="J21" s="62" t="s">
        <v>50</v>
      </c>
      <c r="K21" s="62" t="s">
        <v>51</v>
      </c>
      <c r="L21" s="62" t="s">
        <v>52</v>
      </c>
      <c r="M21" s="62" t="s">
        <v>53</v>
      </c>
      <c r="N21" s="62" t="s">
        <v>54</v>
      </c>
      <c r="O21" s="62" t="s">
        <v>55</v>
      </c>
      <c r="P21" s="63" t="s">
        <v>56</v>
      </c>
      <c r="Q21" s="64" t="s">
        <v>57</v>
      </c>
      <c r="R21" s="172" t="s">
        <v>66</v>
      </c>
      <c r="S21" s="72"/>
    </row>
    <row r="22" spans="1:20">
      <c r="A22" s="162" t="s">
        <v>78</v>
      </c>
      <c r="B22" s="76">
        <f>B18/($B25/24)</f>
        <v>2.8092627636126775E-2</v>
      </c>
      <c r="C22" s="133" t="e">
        <f>C18/($B25/24)</f>
        <v>#REF!</v>
      </c>
      <c r="D22" s="77">
        <f>D18/($B25/24)</f>
        <v>2.8092627636126775E-2</v>
      </c>
      <c r="E22" s="77" t="e">
        <f>E18/($B25/24)</f>
        <v>#REF!</v>
      </c>
      <c r="F22" s="76">
        <f t="shared" ref="F22:S22" si="0">F18/($B25/24)</f>
        <v>1.4046313818063387E-2</v>
      </c>
      <c r="G22" s="76">
        <f t="shared" si="0"/>
        <v>0</v>
      </c>
      <c r="H22" s="76" t="e">
        <f t="shared" si="0"/>
        <v>#REF!</v>
      </c>
      <c r="I22" s="77">
        <f t="shared" si="0"/>
        <v>1.4046313818063387E-2</v>
      </c>
      <c r="J22" s="77">
        <f t="shared" si="0"/>
        <v>0</v>
      </c>
      <c r="K22" s="76" t="e">
        <f>#REF!/($B25/24)</f>
        <v>#REF!</v>
      </c>
      <c r="L22" s="76">
        <f t="shared" si="0"/>
        <v>0</v>
      </c>
      <c r="M22" s="76">
        <f t="shared" si="0"/>
        <v>0</v>
      </c>
      <c r="N22" s="76" t="e">
        <f>K18/($B25/24)</f>
        <v>#REF!</v>
      </c>
      <c r="O22" s="76">
        <f t="shared" si="0"/>
        <v>1.4046313818063387E-2</v>
      </c>
      <c r="P22" s="76" t="e">
        <f t="shared" si="0"/>
        <v>#REF!</v>
      </c>
      <c r="Q22" s="76" t="e">
        <f t="shared" si="0"/>
        <v>#REF!</v>
      </c>
      <c r="R22" s="76">
        <f t="shared" si="0"/>
        <v>0</v>
      </c>
      <c r="S22" s="76" t="e">
        <f t="shared" si="0"/>
        <v>#REF!</v>
      </c>
    </row>
    <row r="23" spans="1:20">
      <c r="A23" s="78" t="s">
        <v>60</v>
      </c>
      <c r="B23" s="79">
        <f>[1]reliabilitySummary!$F$7</f>
        <v>0.12</v>
      </c>
      <c r="C23" s="79">
        <f>[1]reliabilitySummary!$F$8</f>
        <v>0.03</v>
      </c>
      <c r="D23" s="79">
        <v>0.12</v>
      </c>
      <c r="E23" s="79">
        <v>0.05</v>
      </c>
      <c r="F23" s="79">
        <v>3.5000000000000003E-2</v>
      </c>
      <c r="G23" s="79">
        <v>3.5000000000000003E-2</v>
      </c>
      <c r="H23" s="79">
        <v>0.06</v>
      </c>
      <c r="I23" s="79">
        <v>0.02</v>
      </c>
      <c r="J23" s="80">
        <v>0</v>
      </c>
      <c r="K23" s="80">
        <v>0.01</v>
      </c>
      <c r="L23" s="80">
        <v>0.01</v>
      </c>
      <c r="M23" s="80">
        <v>0.01</v>
      </c>
      <c r="N23" s="80">
        <v>0.01</v>
      </c>
      <c r="O23" s="80">
        <v>0.02</v>
      </c>
      <c r="P23" s="80">
        <v>0.01</v>
      </c>
      <c r="Q23" s="80">
        <v>0.02</v>
      </c>
      <c r="R23" s="80"/>
      <c r="S23" s="80">
        <f>SUM(B23:Q23)</f>
        <v>0.56000000000000005</v>
      </c>
      <c r="T23" s="81"/>
    </row>
    <row r="25" spans="1:20">
      <c r="A25" s="37" t="s">
        <v>32</v>
      </c>
      <c r="B25" s="69">
        <f>'Main Data'!D40</f>
        <v>1708.6333333330695</v>
      </c>
    </row>
    <row r="26" spans="1:20">
      <c r="A26" s="82" t="s">
        <v>36</v>
      </c>
      <c r="B26" s="80">
        <f>'Main Data'!D42</f>
        <v>1719.9833333333954</v>
      </c>
    </row>
    <row r="30" spans="1:20">
      <c r="A30" s="83"/>
    </row>
    <row r="36" spans="1:8">
      <c r="A36" s="84" t="s">
        <v>63</v>
      </c>
    </row>
    <row r="37" spans="1:8">
      <c r="A37" s="83"/>
      <c r="B37" s="113"/>
      <c r="C37" s="114" t="s">
        <v>12</v>
      </c>
      <c r="D37" s="113"/>
      <c r="E37" s="113"/>
      <c r="F37" s="113"/>
      <c r="G37" s="113"/>
      <c r="H37" s="115"/>
    </row>
    <row r="38" spans="1:8">
      <c r="A38" s="114" t="s">
        <v>15</v>
      </c>
      <c r="B38" s="114" t="s">
        <v>40</v>
      </c>
      <c r="C38" s="83" t="s">
        <v>22</v>
      </c>
      <c r="D38" s="116" t="s">
        <v>23</v>
      </c>
      <c r="E38" s="116" t="s">
        <v>80</v>
      </c>
      <c r="F38" s="116" t="s">
        <v>71</v>
      </c>
      <c r="G38" s="116" t="s">
        <v>65</v>
      </c>
      <c r="H38" s="117" t="s">
        <v>58</v>
      </c>
    </row>
    <row r="39" spans="1:8">
      <c r="A39" s="83" t="s">
        <v>17</v>
      </c>
      <c r="B39" s="83" t="s">
        <v>42</v>
      </c>
      <c r="C39" s="118">
        <v>2</v>
      </c>
      <c r="D39" s="119">
        <v>2</v>
      </c>
      <c r="E39" s="119">
        <v>1</v>
      </c>
      <c r="F39" s="119">
        <v>1</v>
      </c>
      <c r="G39" s="119">
        <v>1</v>
      </c>
      <c r="H39" s="120">
        <v>7</v>
      </c>
    </row>
    <row r="40" spans="1:8">
      <c r="A40" s="121"/>
      <c r="B40" s="122" t="s">
        <v>41</v>
      </c>
      <c r="C40" s="123">
        <v>0</v>
      </c>
      <c r="D40" s="74">
        <v>0</v>
      </c>
      <c r="E40" s="74">
        <v>0</v>
      </c>
      <c r="F40" s="74">
        <v>0</v>
      </c>
      <c r="G40" s="74">
        <v>0</v>
      </c>
      <c r="H40" s="124">
        <v>0</v>
      </c>
    </row>
    <row r="41" spans="1:8">
      <c r="A41" s="83" t="s">
        <v>44</v>
      </c>
      <c r="B41" s="113"/>
      <c r="C41" s="118">
        <v>2</v>
      </c>
      <c r="D41" s="119">
        <v>2</v>
      </c>
      <c r="E41" s="119">
        <v>1</v>
      </c>
      <c r="F41" s="119">
        <v>1</v>
      </c>
      <c r="G41" s="119">
        <v>1</v>
      </c>
      <c r="H41" s="120">
        <v>7</v>
      </c>
    </row>
    <row r="42" spans="1:8">
      <c r="A42" s="125" t="s">
        <v>43</v>
      </c>
      <c r="B42" s="126"/>
      <c r="C42" s="127">
        <v>0</v>
      </c>
      <c r="D42" s="128">
        <v>0</v>
      </c>
      <c r="E42" s="128">
        <v>0</v>
      </c>
      <c r="F42" s="128">
        <v>0</v>
      </c>
      <c r="G42" s="128">
        <v>0</v>
      </c>
      <c r="H42" s="129">
        <v>0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scale="42" firstPageNumber="0" orientation="portrait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zoomScale="75" zoomScaleNormal="75" workbookViewId="0">
      <selection activeCell="A13" sqref="A1:XFD1048576"/>
    </sheetView>
  </sheetViews>
  <sheetFormatPr defaultRowHeight="12.75"/>
  <cols>
    <col min="20" max="20" width="12" customWidth="1"/>
    <col min="21" max="21" width="3" customWidth="1"/>
  </cols>
  <sheetData/>
  <phoneticPr fontId="0" type="noConversion"/>
  <pageMargins left="0.74791666666666701" right="0.74791666666666701" top="0.98402777777777795" bottom="0.98402777777777795" header="0.51180555555555596" footer="0.51180555555555596"/>
  <pageSetup scale="45" firstPageNumber="0" orientation="portrait" horizontalDpi="300" verticalDpi="300" r:id="rId1"/>
  <headerFooter alignWithMargins="0"/>
  <drawing r:id="rId2"/>
  <webPublishItems count="1">
    <webPublishItem id="2133" divId="Run2011-2DowntimeDetails_2133" sourceType="sheet" destinationFile="Y:\2015\2015-2\Run2015-2Downtime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56" zoomScaleNormal="75" zoomScaleSheetLayoutView="100" workbookViewId="0"/>
  </sheetViews>
  <sheetFormatPr defaultRowHeight="12.75"/>
  <sheetData/>
  <phoneticPr fontId="0" type="noConversion"/>
  <pageMargins left="0.74791666666666667" right="0.74791666666666667" top="0.98402777777777772" bottom="0.98402777777777772" header="0.51180555555555551" footer="0.51180555555555551"/>
  <pageSetup scale="35" firstPageNumber="0" orientation="portrait" horizontalDpi="300" verticalDpi="300" r:id="rId1"/>
  <headerFooter alignWithMargins="0"/>
  <drawing r:id="rId2"/>
  <webPublishItems count="1">
    <webPublishItem id="1446" divId="Run2009-3DowntimeDetails_1446" sourceType="sheet" destinationFile="Y:\2015\2015-2\Run2015-2LostStore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Main Data</vt:lpstr>
      <vt:lpstr>Stats</vt:lpstr>
      <vt:lpstr>Downtime</vt:lpstr>
      <vt:lpstr>Faults Per Day</vt:lpstr>
      <vt:lpstr>_1Excel_BuiltIn_Print_Area_1_1</vt:lpstr>
      <vt:lpstr>_2Excel_BuiltIn_Print_Area_1_1_1_1</vt:lpstr>
      <vt:lpstr>_3Excel_BuiltIn_Print_Area_4_1</vt:lpstr>
      <vt:lpstr>Excel_BuiltIn_Print_Area_1_1</vt:lpstr>
      <vt:lpstr>Excel_BuiltIn_Print_Area_1_1_1</vt:lpstr>
      <vt:lpstr>Excel_BuiltIn_Print_Area_1_1_1_1</vt:lpstr>
      <vt:lpstr>Faults_Day_of_Delivered_Beam</vt:lpstr>
      <vt:lpstr>Mean_Time_Between_Faults</vt:lpstr>
      <vt:lpstr>Number_of_Fills</vt:lpstr>
      <vt:lpstr>Number_of_Intentional_Dumps</vt:lpstr>
      <vt:lpstr>Number_of_Lost_Fills</vt:lpstr>
      <vt:lpstr>'Faults Per Day'!Print_Area</vt:lpstr>
      <vt:lpstr>'Main Data'!Print_Area</vt:lpstr>
      <vt:lpstr>'Main Data'!Print_Titles</vt:lpstr>
      <vt:lpstr>Refill_Time</vt:lpstr>
      <vt:lpstr>Total_Schedule_Run_Length</vt:lpstr>
      <vt:lpstr>Total_System_Downtime</vt:lpstr>
      <vt:lpstr>Total_User_Beam</vt:lpstr>
      <vt:lpstr>Total_User_Downtime</vt:lpstr>
      <vt:lpstr>User_Beam_Days</vt:lpstr>
      <vt:lpstr>X_ray_Availability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cp:lastModifiedBy>Felix</cp:lastModifiedBy>
  <cp:revision>5</cp:revision>
  <cp:lastPrinted>2015-08-27T17:05:06Z</cp:lastPrinted>
  <dcterms:created xsi:type="dcterms:W3CDTF">1998-01-15T00:06:45Z</dcterms:created>
  <dcterms:modified xsi:type="dcterms:W3CDTF">2015-08-28T14:24:23Z</dcterms:modified>
</cp:coreProperties>
</file>