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1615" windowHeight="13170" tabRatio="927" activeTab="1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Data'!$A$2:$P$59</definedName>
    <definedName name="Excel_BuiltIn_Print_Area_1_1_1">'Main Data'!$A$2:$P$80</definedName>
    <definedName name="Excel_BuiltIn_Print_Area_1_1_11">'Main Data'!$A$2:$P$81</definedName>
    <definedName name="Excel_BuiltIn_Print_Area_1_1_1_1">'Main Data'!$A$2:$P$67</definedName>
    <definedName name="Excel_BuiltIn_Print_Area_41">'Faults Per Day'!$A$1:$W$67</definedName>
    <definedName name="Faults_Day_of_Delivered_Beam">'Main Data'!$D$109</definedName>
    <definedName name="Mean_Time_Between_Faults">'Main Data'!$D$108</definedName>
    <definedName name="Number_of_Fills">'Main Data'!$D$101</definedName>
    <definedName name="Number_of_Intentional_Dumps">'Main Data'!$D$100</definedName>
    <definedName name="Number_of_Lost_Fills">'Main Data'!$D$99</definedName>
    <definedName name="_xlnm.Print_Area" localSheetId="3">'Faults Per Day'!$A$1:$AC$81</definedName>
    <definedName name="_xlnm.Print_Area" localSheetId="0">'Main Data'!$A$2:$P$67</definedName>
    <definedName name="_xlnm.Print_Titles" localSheetId="0">'Main Data'!$5:$5</definedName>
    <definedName name="Refill_Time">'Main Data'!$D$1</definedName>
    <definedName name="Total_Schedule_Run_Length">'Main Data'!$D$105</definedName>
    <definedName name="Total_System_Downtime">'Main Data'!$K$101</definedName>
    <definedName name="Total_User_Beam">'Main Data'!$D$103</definedName>
    <definedName name="Total_User_Downtime">'Main Data'!$D$104</definedName>
    <definedName name="User_Beam_Days">'Main Data'!$E$103</definedName>
    <definedName name="X_ray_Availability">'Main Data'!$D$110</definedName>
  </definedNames>
  <calcPr fullCalcOnLoad="1"/>
  <pivotCaches>
    <pivotCache cacheId="12" r:id="rId5"/>
    <pivotCache cacheId="15" r:id="rId6"/>
  </pivotCaches>
</workbook>
</file>

<file path=xl/sharedStrings.xml><?xml version="1.0" encoding="utf-8"?>
<sst xmlns="http://schemas.openxmlformats.org/spreadsheetml/2006/main" count="259" uniqueCount="101">
  <si>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</si>
  <si>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</si>
  <si>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</si>
  <si>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</si>
  <si>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</si>
  <si>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</si>
  <si>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</si>
  <si>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</si>
  <si>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</si>
  <si>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</si>
  <si>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</si>
  <si>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</si>
  <si>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</si>
  <si>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</si>
  <si>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</si>
  <si>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</si>
  <si>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</si>
  <si>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</si>
  <si>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</si>
  <si>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</si>
  <si>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</si>
  <si>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</si>
  <si>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</si>
  <si>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</si>
  <si>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</si>
  <si>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</si>
  <si>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</si>
  <si>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</si>
  <si>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</si>
  <si>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</si>
  <si>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</si>
  <si>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</si>
  <si>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</si>
  <si>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</si>
  <si>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</si>
  <si>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</si>
  <si>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</si>
  <si>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</si>
  <si>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</si>
  <si>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</si>
  <si>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</si>
  <si>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</si>
  <si>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</si>
  <si>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</si>
  <si>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</si>
  <si>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</si>
  <si>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</si>
  <si>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</si>
  <si>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</si>
  <si>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</si>
  <si>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</si>
  <si>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</si>
  <si>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</si>
  <si>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</si>
  <si>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</si>
  <si>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</si>
  <si>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</si>
  <si>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</si>
  <si>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</si>
  <si>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</si>
  <si>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</si>
  <si>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</si>
  <si>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</si>
  <si>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</si>
  <si>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</si>
  <si>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</si>
  <si>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AOP</t>
  </si>
  <si>
    <t>UNK</t>
  </si>
  <si>
    <t>Int Dump: End of Period</t>
  </si>
  <si>
    <t xml:space="preserve">Int Dump: End of Period </t>
  </si>
  <si>
    <t>DIA</t>
  </si>
  <si>
    <t>Downtime for Run 2015-1</t>
  </si>
  <si>
    <t>P0 feedback adj. [AOP]</t>
  </si>
  <si>
    <t>Inhibits Beam to User</t>
  </si>
  <si>
    <t>RG2 Thyratron replacement [PS]</t>
  </si>
  <si>
    <t>RF2 crowbar fault[RF]</t>
  </si>
  <si>
    <t>S14 Low Flow Flt[MOM]</t>
  </si>
  <si>
    <t>S3A:V3 glitch[PS]</t>
  </si>
  <si>
    <t>6ID PSS trip [SI]</t>
  </si>
  <si>
    <t>SI</t>
  </si>
  <si>
    <t>Refill, add. 8A:P0 problem,0.5hr[PS],0.45hr[DIAG]</t>
  </si>
  <si>
    <t>Run 2015-1</t>
  </si>
  <si>
    <t>S3A:V3 P.S. glitch[PS]</t>
  </si>
  <si>
    <t>Power event [OTH]</t>
  </si>
  <si>
    <t>ComEd</t>
  </si>
  <si>
    <t>IOCS3FB module swap</t>
  </si>
  <si>
    <t>CTL</t>
  </si>
  <si>
    <t>Software misread of  fill pattern</t>
  </si>
  <si>
    <t>S40A:MT noise [PS]</t>
  </si>
  <si>
    <t>RG2 kicker problem</t>
  </si>
  <si>
    <t>BL</t>
  </si>
  <si>
    <t>6ID PSS trip [OTHER]</t>
  </si>
  <si>
    <t>P0 feedback instability [AOP]</t>
  </si>
  <si>
    <t>S37 RF Cav IG fault [RF]</t>
  </si>
  <si>
    <t>S40 RF Cav. Power Monitor trip [RF]</t>
  </si>
  <si>
    <t>26ID BPLD failed[DIAG]</t>
  </si>
  <si>
    <t>P0 fdbk instability[AOP]</t>
  </si>
  <si>
    <t>S8B:Q5 trip [PS]</t>
  </si>
  <si>
    <t>9BM PSS trip[SI]</t>
  </si>
  <si>
    <t>RF2 Crowbar trip [RF]</t>
  </si>
  <si>
    <t>S37/38 Absorb. Flow[MOM]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</si>
</sst>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3.35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9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0" xfId="0" applyNumberFormat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left"/>
    </xf>
    <xf numFmtId="2" fontId="0" fillId="37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right"/>
    </xf>
    <xf numFmtId="0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31" xfId="0" applyNumberFormat="1" applyBorder="1" applyAlignment="1">
      <alignment/>
    </xf>
    <xf numFmtId="0" fontId="0" fillId="40" borderId="25" xfId="0" applyNumberFormat="1" applyFont="1" applyFill="1" applyBorder="1" applyAlignment="1">
      <alignment horizontal="right"/>
    </xf>
    <xf numFmtId="164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/>
    </xf>
    <xf numFmtId="164" fontId="0" fillId="40" borderId="18" xfId="0" applyNumberFormat="1" applyFont="1" applyFill="1" applyBorder="1" applyAlignment="1">
      <alignment/>
    </xf>
    <xf numFmtId="0" fontId="0" fillId="41" borderId="19" xfId="0" applyNumberFormat="1" applyFont="1" applyFill="1" applyBorder="1" applyAlignment="1">
      <alignment horizontal="right"/>
    </xf>
    <xf numFmtId="164" fontId="0" fillId="41" borderId="29" xfId="0" applyNumberFormat="1" applyFont="1" applyFill="1" applyBorder="1" applyAlignment="1">
      <alignment/>
    </xf>
    <xf numFmtId="0" fontId="0" fillId="41" borderId="19" xfId="0" applyNumberFormat="1" applyFont="1" applyFill="1" applyBorder="1" applyAlignment="1" applyProtection="1">
      <alignment horizontal="left"/>
      <protection/>
    </xf>
    <xf numFmtId="0" fontId="0" fillId="38" borderId="19" xfId="0" applyNumberFormat="1" applyFont="1" applyFill="1" applyBorder="1" applyAlignment="1" applyProtection="1">
      <alignment horizontal="left"/>
      <protection/>
    </xf>
    <xf numFmtId="164" fontId="0" fillId="39" borderId="29" xfId="0" applyNumberFormat="1" applyFont="1" applyFill="1" applyBorder="1" applyAlignment="1">
      <alignment/>
    </xf>
    <xf numFmtId="177" fontId="0" fillId="40" borderId="32" xfId="0" applyNumberFormat="1" applyFont="1" applyFill="1" applyBorder="1" applyAlignment="1">
      <alignment horizontal="left"/>
    </xf>
    <xf numFmtId="177" fontId="0" fillId="34" borderId="32" xfId="0" applyNumberFormat="1" applyFont="1" applyFill="1" applyBorder="1" applyAlignment="1">
      <alignment horizontal="left"/>
    </xf>
    <xf numFmtId="177" fontId="0" fillId="33" borderId="19" xfId="0" applyNumberFormat="1" applyFont="1" applyFill="1" applyBorder="1" applyAlignment="1">
      <alignment horizontal="left" wrapText="1"/>
    </xf>
    <xf numFmtId="2" fontId="0" fillId="33" borderId="19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 wrapText="1"/>
    </xf>
    <xf numFmtId="0" fontId="0" fillId="33" borderId="19" xfId="0" applyNumberFormat="1" applyFont="1" applyFill="1" applyBorder="1" applyAlignment="1">
      <alignment horizontal="left"/>
    </xf>
    <xf numFmtId="164" fontId="0" fillId="33" borderId="19" xfId="0" applyNumberFormat="1" applyFont="1" applyFill="1" applyBorder="1" applyAlignment="1">
      <alignment horizontal="left"/>
    </xf>
    <xf numFmtId="166" fontId="0" fillId="33" borderId="19" xfId="0" applyNumberFormat="1" applyFont="1" applyFill="1" applyBorder="1" applyAlignment="1">
      <alignment horizontal="left" wrapText="1"/>
    </xf>
    <xf numFmtId="177" fontId="0" fillId="0" borderId="19" xfId="0" applyNumberFormat="1" applyFont="1" applyBorder="1" applyAlignment="1">
      <alignment horizontal="left" wrapText="1"/>
    </xf>
    <xf numFmtId="177" fontId="0" fillId="0" borderId="19" xfId="0" applyNumberFormat="1" applyBorder="1" applyAlignment="1">
      <alignment horizontal="left" wrapText="1"/>
    </xf>
    <xf numFmtId="2" fontId="0" fillId="38" borderId="19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0" fillId="0" borderId="19" xfId="0" applyNumberFormat="1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166" fontId="0" fillId="0" borderId="19" xfId="0" applyNumberFormat="1" applyFont="1" applyBorder="1" applyAlignment="1">
      <alignment horizontal="left" wrapText="1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 locked="0"/>
    </xf>
    <xf numFmtId="177" fontId="0" fillId="41" borderId="19" xfId="0" applyNumberFormat="1" applyFont="1" applyFill="1" applyBorder="1" applyAlignment="1">
      <alignment horizontal="left" wrapText="1"/>
    </xf>
    <xf numFmtId="177" fontId="0" fillId="41" borderId="19" xfId="0" applyNumberFormat="1" applyFill="1" applyBorder="1" applyAlignment="1">
      <alignment horizontal="left" wrapText="1"/>
    </xf>
    <xf numFmtId="0" fontId="4" fillId="41" borderId="19" xfId="0" applyFont="1" applyFill="1" applyBorder="1" applyAlignment="1">
      <alignment horizontal="left" wrapText="1"/>
    </xf>
    <xf numFmtId="0" fontId="0" fillId="41" borderId="19" xfId="0" applyNumberFormat="1" applyFont="1" applyFill="1" applyBorder="1" applyAlignment="1">
      <alignment horizontal="left"/>
    </xf>
    <xf numFmtId="164" fontId="0" fillId="41" borderId="19" xfId="0" applyNumberFormat="1" applyFont="1" applyFill="1" applyBorder="1" applyAlignment="1">
      <alignment horizontal="left"/>
    </xf>
    <xf numFmtId="164" fontId="0" fillId="41" borderId="19" xfId="0" applyNumberFormat="1" applyFill="1" applyBorder="1" applyAlignment="1">
      <alignment horizontal="left" wrapText="1"/>
    </xf>
    <xf numFmtId="166" fontId="0" fillId="41" borderId="19" xfId="0" applyNumberFormat="1" applyFont="1" applyFill="1" applyBorder="1" applyAlignment="1">
      <alignment horizontal="left" wrapText="1"/>
    </xf>
    <xf numFmtId="0" fontId="0" fillId="41" borderId="19" xfId="0" applyNumberFormat="1" applyFont="1" applyFill="1" applyBorder="1" applyAlignment="1" applyProtection="1">
      <alignment horizontal="left"/>
      <protection locked="0"/>
    </xf>
    <xf numFmtId="2" fontId="0" fillId="35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 horizontal="left"/>
      <protection locked="0"/>
    </xf>
    <xf numFmtId="177" fontId="0" fillId="0" borderId="19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66" fontId="0" fillId="39" borderId="19" xfId="0" applyNumberFormat="1" applyFont="1" applyFill="1" applyBorder="1" applyAlignment="1">
      <alignment horizontal="left" wrapText="1"/>
    </xf>
    <xf numFmtId="0" fontId="0" fillId="38" borderId="19" xfId="0" applyNumberFormat="1" applyFont="1" applyFill="1" applyBorder="1" applyAlignment="1" applyProtection="1">
      <alignment horizontal="left"/>
      <protection locked="0"/>
    </xf>
    <xf numFmtId="164" fontId="0" fillId="41" borderId="29" xfId="0" applyNumberFormat="1" applyFont="1" applyFill="1" applyBorder="1" applyAlignment="1">
      <alignment horizontal="left"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textRotation="90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 wrapText="1"/>
    </xf>
    <xf numFmtId="165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>
      <alignment wrapText="1"/>
    </xf>
    <xf numFmtId="0" fontId="0" fillId="38" borderId="19" xfId="0" applyNumberFormat="1" applyFont="1" applyFill="1" applyBorder="1" applyAlignment="1">
      <alignment horizontal="right"/>
    </xf>
    <xf numFmtId="177" fontId="0" fillId="38" borderId="19" xfId="0" applyNumberFormat="1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left" wrapText="1"/>
    </xf>
    <xf numFmtId="0" fontId="0" fillId="38" borderId="19" xfId="0" applyNumberFormat="1" applyFont="1" applyFill="1" applyBorder="1" applyAlignment="1">
      <alignment horizontal="left"/>
    </xf>
    <xf numFmtId="164" fontId="0" fillId="38" borderId="19" xfId="0" applyNumberFormat="1" applyFont="1" applyFill="1" applyBorder="1" applyAlignment="1">
      <alignment horizontal="left"/>
    </xf>
    <xf numFmtId="177" fontId="0" fillId="42" borderId="19" xfId="0" applyNumberFormat="1" applyFont="1" applyFill="1" applyBorder="1" applyAlignment="1">
      <alignment horizontal="left" wrapText="1"/>
    </xf>
    <xf numFmtId="166" fontId="0" fillId="42" borderId="19" xfId="0" applyNumberFormat="1" applyFont="1" applyFill="1" applyBorder="1" applyAlignment="1">
      <alignment horizontal="left" wrapText="1"/>
    </xf>
    <xf numFmtId="2" fontId="0" fillId="42" borderId="19" xfId="0" applyNumberFormat="1" applyFont="1" applyFill="1" applyBorder="1" applyAlignment="1">
      <alignment horizontal="left"/>
    </xf>
    <xf numFmtId="0" fontId="0" fillId="43" borderId="19" xfId="0" applyNumberFormat="1" applyFont="1" applyFill="1" applyBorder="1" applyAlignment="1">
      <alignment horizontal="left"/>
    </xf>
    <xf numFmtId="0" fontId="0" fillId="42" borderId="19" xfId="0" applyNumberFormat="1" applyFont="1" applyFill="1" applyBorder="1" applyAlignment="1" applyProtection="1">
      <alignment horizontal="left"/>
      <protection/>
    </xf>
    <xf numFmtId="164" fontId="0" fillId="42" borderId="29" xfId="0" applyNumberFormat="1" applyFont="1" applyFill="1" applyBorder="1" applyAlignment="1">
      <alignment/>
    </xf>
    <xf numFmtId="177" fontId="0" fillId="44" borderId="19" xfId="0" applyNumberFormat="1" applyFont="1" applyFill="1" applyBorder="1" applyAlignment="1">
      <alignment horizontal="left" wrapText="1"/>
    </xf>
    <xf numFmtId="166" fontId="0" fillId="44" borderId="19" xfId="0" applyNumberFormat="1" applyFont="1" applyFill="1" applyBorder="1" applyAlignment="1">
      <alignment horizontal="left" wrapText="1"/>
    </xf>
    <xf numFmtId="2" fontId="0" fillId="44" borderId="19" xfId="0" applyNumberFormat="1" applyFont="1" applyFill="1" applyBorder="1" applyAlignment="1">
      <alignment horizontal="left"/>
    </xf>
    <xf numFmtId="0" fontId="0" fillId="45" borderId="19" xfId="0" applyNumberFormat="1" applyFont="1" applyFill="1" applyBorder="1" applyAlignment="1">
      <alignment horizontal="left"/>
    </xf>
    <xf numFmtId="0" fontId="0" fillId="44" borderId="19" xfId="0" applyNumberFormat="1" applyFont="1" applyFill="1" applyBorder="1" applyAlignment="1" applyProtection="1">
      <alignment horizontal="left"/>
      <protection/>
    </xf>
    <xf numFmtId="164" fontId="0" fillId="44" borderId="29" xfId="0" applyNumberFormat="1" applyFont="1" applyFill="1" applyBorder="1" applyAlignment="1">
      <alignment/>
    </xf>
    <xf numFmtId="0" fontId="0" fillId="39" borderId="19" xfId="0" applyNumberFormat="1" applyFont="1" applyFill="1" applyBorder="1" applyAlignment="1">
      <alignment horizontal="right"/>
    </xf>
    <xf numFmtId="177" fontId="0" fillId="39" borderId="19" xfId="0" applyNumberFormat="1" applyFont="1" applyFill="1" applyBorder="1" applyAlignment="1">
      <alignment horizontal="left" wrapText="1"/>
    </xf>
    <xf numFmtId="177" fontId="0" fillId="39" borderId="19" xfId="0" applyNumberFormat="1" applyFill="1" applyBorder="1" applyAlignment="1">
      <alignment horizontal="left" wrapText="1"/>
    </xf>
    <xf numFmtId="0" fontId="4" fillId="39" borderId="19" xfId="0" applyFont="1" applyFill="1" applyBorder="1" applyAlignment="1">
      <alignment horizontal="left" wrapText="1"/>
    </xf>
    <xf numFmtId="0" fontId="0" fillId="39" borderId="19" xfId="0" applyNumberFormat="1" applyFont="1" applyFill="1" applyBorder="1" applyAlignment="1">
      <alignment horizontal="left"/>
    </xf>
    <xf numFmtId="164" fontId="0" fillId="39" borderId="19" xfId="0" applyNumberFormat="1" applyFont="1" applyFill="1" applyBorder="1" applyAlignment="1">
      <alignment horizontal="left"/>
    </xf>
    <xf numFmtId="164" fontId="0" fillId="39" borderId="19" xfId="0" applyNumberFormat="1" applyFill="1" applyBorder="1" applyAlignment="1">
      <alignment horizontal="left" wrapText="1"/>
    </xf>
    <xf numFmtId="0" fontId="0" fillId="39" borderId="19" xfId="0" applyNumberFormat="1" applyFont="1" applyFill="1" applyBorder="1" applyAlignment="1" applyProtection="1">
      <alignment horizontal="left"/>
      <protection/>
    </xf>
    <xf numFmtId="0" fontId="0" fillId="39" borderId="19" xfId="0" applyNumberFormat="1" applyFont="1" applyFill="1" applyBorder="1" applyAlignment="1" applyProtection="1">
      <alignment horizontal="left"/>
      <protection locked="0"/>
    </xf>
    <xf numFmtId="0" fontId="0" fillId="33" borderId="29" xfId="0" applyFill="1" applyBorder="1" applyAlignment="1">
      <alignment/>
    </xf>
    <xf numFmtId="2" fontId="0" fillId="33" borderId="33" xfId="0" applyNumberFormat="1" applyFont="1" applyFill="1" applyBorder="1" applyAlignment="1">
      <alignment horizontal="left"/>
    </xf>
    <xf numFmtId="0" fontId="0" fillId="46" borderId="34" xfId="0" applyNumberFormat="1" applyFont="1" applyFill="1" applyBorder="1" applyAlignment="1">
      <alignment horizontal="right"/>
    </xf>
    <xf numFmtId="177" fontId="0" fillId="46" borderId="34" xfId="0" applyNumberFormat="1" applyFont="1" applyFill="1" applyBorder="1" applyAlignment="1">
      <alignment horizontal="left" wrapText="1"/>
    </xf>
    <xf numFmtId="177" fontId="0" fillId="46" borderId="34" xfId="0" applyNumberFormat="1" applyFill="1" applyBorder="1" applyAlignment="1">
      <alignment horizontal="left" wrapText="1"/>
    </xf>
    <xf numFmtId="2" fontId="0" fillId="47" borderId="34" xfId="0" applyNumberFormat="1" applyFont="1" applyFill="1" applyBorder="1" applyAlignment="1">
      <alignment horizontal="left"/>
    </xf>
    <xf numFmtId="0" fontId="4" fillId="46" borderId="34" xfId="0" applyFont="1" applyFill="1" applyBorder="1" applyAlignment="1">
      <alignment horizontal="left" wrapText="1"/>
    </xf>
    <xf numFmtId="0" fontId="0" fillId="46" borderId="34" xfId="0" applyNumberFormat="1" applyFont="1" applyFill="1" applyBorder="1" applyAlignment="1">
      <alignment horizontal="left"/>
    </xf>
    <xf numFmtId="164" fontId="0" fillId="46" borderId="34" xfId="0" applyNumberFormat="1" applyFont="1" applyFill="1" applyBorder="1" applyAlignment="1">
      <alignment horizontal="left"/>
    </xf>
    <xf numFmtId="166" fontId="0" fillId="46" borderId="34" xfId="0" applyNumberFormat="1" applyFont="1" applyFill="1" applyBorder="1" applyAlignment="1">
      <alignment horizontal="left" wrapText="1"/>
    </xf>
    <xf numFmtId="0" fontId="0" fillId="46" borderId="34" xfId="0" applyNumberFormat="1" applyFont="1" applyFill="1" applyBorder="1" applyAlignment="1" applyProtection="1">
      <alignment horizontal="left"/>
      <protection/>
    </xf>
    <xf numFmtId="0" fontId="0" fillId="46" borderId="34" xfId="0" applyNumberFormat="1" applyFont="1" applyFill="1" applyBorder="1" applyAlignment="1" applyProtection="1">
      <alignment horizontal="left"/>
      <protection locked="0"/>
    </xf>
    <xf numFmtId="164" fontId="0" fillId="46" borderId="35" xfId="0" applyNumberFormat="1" applyFont="1" applyFill="1" applyBorder="1" applyAlignment="1">
      <alignment/>
    </xf>
    <xf numFmtId="0" fontId="0" fillId="36" borderId="19" xfId="0" applyNumberFormat="1" applyFont="1" applyFill="1" applyBorder="1" applyAlignment="1">
      <alignment horizontal="right"/>
    </xf>
    <xf numFmtId="177" fontId="0" fillId="36" borderId="19" xfId="0" applyNumberFormat="1" applyFont="1" applyFill="1" applyBorder="1" applyAlignment="1">
      <alignment horizontal="left"/>
    </xf>
    <xf numFmtId="164" fontId="0" fillId="36" borderId="19" xfId="0" applyNumberFormat="1" applyFont="1" applyFill="1" applyBorder="1" applyAlignment="1">
      <alignment horizontal="left"/>
    </xf>
    <xf numFmtId="0" fontId="0" fillId="36" borderId="19" xfId="0" applyNumberFormat="1" applyFont="1" applyFill="1" applyBorder="1" applyAlignment="1">
      <alignment horizontal="left"/>
    </xf>
    <xf numFmtId="0" fontId="0" fillId="36" borderId="19" xfId="0" applyNumberFormat="1" applyFont="1" applyFill="1" applyBorder="1" applyAlignment="1" applyProtection="1">
      <alignment horizontal="left"/>
      <protection/>
    </xf>
    <xf numFmtId="0" fontId="0" fillId="36" borderId="19" xfId="0" applyNumberFormat="1" applyFont="1" applyFill="1" applyBorder="1" applyAlignment="1" applyProtection="1">
      <alignment horizontal="left"/>
      <protection locked="0"/>
    </xf>
    <xf numFmtId="164" fontId="0" fillId="36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2015-1 Downtime by System 
February 3 - April 28, 2015
 Scheduled User Time =  1727 hours     
User downtime= 28.52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2015-1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0.001080872418537421</c:v>
                </c:pt>
                <c:pt idx="1">
                  <c:v>0.0016985138003999117</c:v>
                </c:pt>
                <c:pt idx="2">
                  <c:v>0.007942482146106069</c:v>
                </c:pt>
                <c:pt idx="3">
                  <c:v>0.0002895193977322436</c:v>
                </c:pt>
                <c:pt idx="4">
                  <c:v>0.0006658946149863872</c:v>
                </c:pt>
                <c:pt idx="5">
                  <c:v>0.0006658946149863872</c:v>
                </c:pt>
                <c:pt idx="6">
                  <c:v>0</c:v>
                </c:pt>
                <c:pt idx="7">
                  <c:v>0.0004921829762459276</c:v>
                </c:pt>
                <c:pt idx="8">
                  <c:v>0.002837290098382668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0.00045358038994903745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0.00038602586367669593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2015-1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2015-1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0.028260506922838022</c:v>
                </c:pt>
                <c:pt idx="1">
                  <c:v>0.014130253461419011</c:v>
                </c:pt>
                <c:pt idx="2">
                  <c:v>0.056521013845676045</c:v>
                </c:pt>
                <c:pt idx="3">
                  <c:v>0</c:v>
                </c:pt>
                <c:pt idx="4">
                  <c:v>0.028260506922838022</c:v>
                </c:pt>
                <c:pt idx="5">
                  <c:v>0.014130253461419011</c:v>
                </c:pt>
                <c:pt idx="6">
                  <c:v>0</c:v>
                </c:pt>
                <c:pt idx="8">
                  <c:v>0.042390760384257035</c:v>
                </c:pt>
                <c:pt idx="9">
                  <c:v>0</c:v>
                </c:pt>
                <c:pt idx="10">
                  <c:v>0</c:v>
                </c:pt>
                <c:pt idx="12">
                  <c:v>0.014130253461419011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0.014130253461419011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At val="0"/>
        <c:auto val="1"/>
        <c:lblOffset val="100"/>
        <c:tickLblSkip val="1"/>
        <c:noMultiLvlLbl val="0"/>
      </c:catAx>
      <c:valAx>
        <c:axId val="27869859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99</xdr:row>
      <xdr:rowOff>76200</xdr:rowOff>
    </xdr:from>
    <xdr:to>
      <xdr:col>11</xdr:col>
      <xdr:colOff>85725</xdr:colOff>
      <xdr:row>100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7697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85725</xdr:rowOff>
    </xdr:from>
    <xdr:to>
      <xdr:col>11</xdr:col>
      <xdr:colOff>85725</xdr:colOff>
      <xdr:row>58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0906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1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m/>
        <s v="PS"/>
        <s v="AOP"/>
        <s v="RF"/>
        <s v="MOM"/>
        <s v="DIA"/>
        <s v="SI"/>
        <s v="ComEd"/>
        <s v="CTL"/>
        <s v="BL"/>
        <s v="UNK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0"/>
        <item x="1"/>
        <item x="3"/>
        <item x="5"/>
        <item x="4"/>
        <item x="9"/>
        <item x="2"/>
        <item x="6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zoomScale="75" zoomScaleNormal="75" zoomScalePageLayoutView="0" workbookViewId="0" topLeftCell="A1">
      <pane ySplit="5" topLeftCell="A15" activePane="bottomLeft" state="frozen"/>
      <selection pane="topLeft" activeCell="A1" sqref="A1"/>
      <selection pane="bottomLeft" activeCell="M53" sqref="M5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247" t="s">
        <v>71</v>
      </c>
      <c r="B2" s="247"/>
      <c r="C2" s="247"/>
      <c r="D2" s="247"/>
      <c r="E2" s="247"/>
      <c r="F2" s="247"/>
      <c r="G2" s="247"/>
      <c r="H2" s="247"/>
      <c r="I2" s="247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09" t="s">
        <v>3</v>
      </c>
      <c r="B5" s="110" t="s">
        <v>4</v>
      </c>
      <c r="C5" s="110" t="s">
        <v>5</v>
      </c>
      <c r="D5" s="111" t="s">
        <v>6</v>
      </c>
      <c r="E5" s="112" t="s">
        <v>7</v>
      </c>
      <c r="F5" s="109" t="s">
        <v>8</v>
      </c>
      <c r="G5" s="113" t="s">
        <v>9</v>
      </c>
      <c r="H5" s="110" t="s">
        <v>4</v>
      </c>
      <c r="I5" s="110" t="s">
        <v>5</v>
      </c>
      <c r="J5" s="114" t="s">
        <v>10</v>
      </c>
      <c r="K5" s="115" t="s">
        <v>11</v>
      </c>
      <c r="L5" s="116" t="s">
        <v>12</v>
      </c>
      <c r="M5" s="117" t="s">
        <v>13</v>
      </c>
      <c r="N5" s="117" t="s">
        <v>14</v>
      </c>
      <c r="O5" s="116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0" s="30" customFormat="1" ht="66.75" customHeight="1">
      <c r="A6" s="191"/>
      <c r="B6" s="192"/>
      <c r="C6" s="192"/>
      <c r="D6" s="193"/>
      <c r="E6" s="194"/>
      <c r="F6" s="191"/>
      <c r="G6" s="195"/>
      <c r="H6" s="192"/>
      <c r="I6" s="192"/>
      <c r="J6" s="196"/>
      <c r="K6" s="197"/>
      <c r="L6" s="198"/>
      <c r="M6" s="199"/>
      <c r="N6" s="199"/>
      <c r="O6" s="198"/>
      <c r="P6" s="200"/>
      <c r="Q6" s="32"/>
      <c r="R6" s="32"/>
      <c r="S6" s="32"/>
      <c r="T6" s="33"/>
    </row>
    <row r="7" spans="1:23" s="34" customFormat="1" ht="12.75">
      <c r="A7" s="85"/>
      <c r="B7" s="162"/>
      <c r="C7" s="163"/>
      <c r="D7" s="164">
        <f>SUM((C7-B7)*24)</f>
        <v>0</v>
      </c>
      <c r="E7" s="165"/>
      <c r="F7" s="166">
        <v>106287</v>
      </c>
      <c r="G7" s="167"/>
      <c r="H7" s="163">
        <v>42038.333333333336</v>
      </c>
      <c r="I7" s="168">
        <v>42038.683333333334</v>
      </c>
      <c r="J7" s="164">
        <f>SUM((I7-H7)*24)</f>
        <v>8.399999999965075</v>
      </c>
      <c r="K7" s="164">
        <f>SUM((I7-H7)*24)</f>
        <v>8.399999999965075</v>
      </c>
      <c r="L7" s="86" t="s">
        <v>22</v>
      </c>
      <c r="M7" s="169" t="s">
        <v>22</v>
      </c>
      <c r="N7" s="169" t="s">
        <v>22</v>
      </c>
      <c r="O7" s="86" t="s">
        <v>73</v>
      </c>
      <c r="P7" s="107" t="s">
        <v>74</v>
      </c>
      <c r="Q7" s="35">
        <f aca="true" t="shared" si="0" ref="Q7:Q55">IF($O7="Store Lost",1,"")</f>
      </c>
      <c r="R7" s="35">
        <f aca="true" t="shared" si="1" ref="R7:R55">IF($O7="Scheduled",1,"")</f>
      </c>
      <c r="S7" s="35">
        <f aca="true" t="shared" si="2" ref="S7:S55">IF($O7="Inhibits beam to user",1,"")</f>
        <v>1</v>
      </c>
      <c r="T7" s="36">
        <f aca="true" t="shared" si="3" ref="T7:T14">SUM(Q7:S7)</f>
        <v>1</v>
      </c>
      <c r="U7" s="30"/>
      <c r="V7" s="30"/>
      <c r="W7" s="30"/>
    </row>
    <row r="8" spans="1:23" s="34" customFormat="1" ht="12.75">
      <c r="A8" s="145">
        <v>1</v>
      </c>
      <c r="B8" s="154">
        <v>42038.683333333334</v>
      </c>
      <c r="C8" s="154">
        <v>42039.55416666667</v>
      </c>
      <c r="D8" s="157">
        <f>SUM((C8-B8)*24)</f>
        <v>20.900000000023283</v>
      </c>
      <c r="E8" s="146" t="s">
        <v>72</v>
      </c>
      <c r="F8" s="170">
        <v>106289</v>
      </c>
      <c r="G8" s="146"/>
      <c r="H8" s="154">
        <v>42039.55416666667</v>
      </c>
      <c r="I8" s="146">
        <v>42039.57013888889</v>
      </c>
      <c r="J8" s="157">
        <f>SUM((I8-H8)*24)</f>
        <v>0.3833333333604969</v>
      </c>
      <c r="K8" s="157">
        <f>SUM((I8-H8)*24)</f>
        <v>0.3833333333604969</v>
      </c>
      <c r="L8" s="147" t="s">
        <v>66</v>
      </c>
      <c r="M8" s="171" t="s">
        <v>66</v>
      </c>
      <c r="N8" s="171" t="s">
        <v>66</v>
      </c>
      <c r="O8" s="147" t="s">
        <v>17</v>
      </c>
      <c r="P8" s="148"/>
      <c r="Q8" s="35">
        <f t="shared" si="0"/>
        <v>1</v>
      </c>
      <c r="R8" s="35">
        <f t="shared" si="1"/>
      </c>
      <c r="S8" s="35">
        <f t="shared" si="2"/>
      </c>
      <c r="T8" s="36">
        <f t="shared" si="3"/>
        <v>1</v>
      </c>
      <c r="U8" s="30"/>
      <c r="V8" s="30"/>
      <c r="W8" s="30"/>
    </row>
    <row r="9" spans="1:23" s="34" customFormat="1" ht="12.75">
      <c r="A9" s="85">
        <v>2</v>
      </c>
      <c r="B9" s="162">
        <v>42039.57013888889</v>
      </c>
      <c r="C9" s="163">
        <v>42040.64236111111</v>
      </c>
      <c r="D9" s="164">
        <f>SUM((C9-B9)*24)</f>
        <v>25.7333333332208</v>
      </c>
      <c r="E9" s="165" t="s">
        <v>75</v>
      </c>
      <c r="F9" s="166">
        <v>106290</v>
      </c>
      <c r="G9" s="167"/>
      <c r="H9" s="163">
        <v>42040.64236111111</v>
      </c>
      <c r="I9" s="168">
        <v>42040.66388888889</v>
      </c>
      <c r="J9" s="164">
        <f>SUM((I9-H9)*24)</f>
        <v>0.5166666667792015</v>
      </c>
      <c r="K9" s="164">
        <f>SUM((I9-H9)*24)</f>
        <v>0.5166666667792015</v>
      </c>
      <c r="L9" s="86" t="s">
        <v>23</v>
      </c>
      <c r="M9" s="169" t="s">
        <v>23</v>
      </c>
      <c r="N9" s="169" t="s">
        <v>23</v>
      </c>
      <c r="O9" s="86" t="s">
        <v>17</v>
      </c>
      <c r="P9" s="107"/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" customHeight="1">
      <c r="A10" s="149">
        <v>3</v>
      </c>
      <c r="B10" s="172">
        <v>42040.66388888889</v>
      </c>
      <c r="C10" s="173">
        <v>42045.333333333336</v>
      </c>
      <c r="D10" s="157">
        <f>SUM((C10-B10)*24)</f>
        <v>112.06666666665114</v>
      </c>
      <c r="E10" s="174" t="s">
        <v>68</v>
      </c>
      <c r="F10" s="175"/>
      <c r="G10" s="176"/>
      <c r="H10" s="177"/>
      <c r="I10" s="178"/>
      <c r="J10" s="157">
        <f>SUM((I10-H10)*24)</f>
        <v>0</v>
      </c>
      <c r="K10" s="157">
        <f>SUM((I10-H10)*24)</f>
        <v>0</v>
      </c>
      <c r="L10" s="151"/>
      <c r="M10" s="179"/>
      <c r="N10" s="179"/>
      <c r="O10" s="151" t="s">
        <v>21</v>
      </c>
      <c r="P10" s="150"/>
      <c r="Q10" s="35">
        <f t="shared" si="0"/>
      </c>
      <c r="R10" s="35">
        <f t="shared" si="1"/>
        <v>1</v>
      </c>
      <c r="S10" s="35">
        <f t="shared" si="2"/>
      </c>
      <c r="T10" s="36">
        <f t="shared" si="3"/>
        <v>1</v>
      </c>
      <c r="U10" s="30"/>
      <c r="V10" s="30"/>
      <c r="W10" s="30"/>
    </row>
    <row r="11" spans="1:23" s="34" customFormat="1" ht="12.75">
      <c r="A11" s="118"/>
      <c r="B11" s="155"/>
      <c r="C11" s="155"/>
      <c r="D11" s="180">
        <f>SUM(D7:D10)</f>
        <v>158.69999999989523</v>
      </c>
      <c r="E11" s="123"/>
      <c r="F11" s="181"/>
      <c r="G11" s="123"/>
      <c r="H11" s="123"/>
      <c r="I11" s="123"/>
      <c r="J11" s="182">
        <f>SUM(J7:J10)</f>
        <v>9.300000000104774</v>
      </c>
      <c r="K11" s="182">
        <f>SUM(K7:K10)</f>
        <v>9.300000000104774</v>
      </c>
      <c r="L11" s="127"/>
      <c r="M11" s="183"/>
      <c r="N11" s="183"/>
      <c r="O11" s="127"/>
      <c r="P11" s="84"/>
      <c r="Q11" s="35">
        <f t="shared" si="0"/>
      </c>
      <c r="R11" s="35">
        <f t="shared" si="1"/>
      </c>
      <c r="S11" s="35">
        <f t="shared" si="2"/>
      </c>
      <c r="T11" s="36">
        <f t="shared" si="3"/>
        <v>0</v>
      </c>
      <c r="U11" s="30"/>
      <c r="V11" s="30"/>
      <c r="W11" s="30"/>
    </row>
    <row r="12" spans="1:23" s="34" customFormat="1" ht="12.75">
      <c r="A12" s="85">
        <v>4</v>
      </c>
      <c r="B12" s="184">
        <v>42046.333333333336</v>
      </c>
      <c r="C12" s="184">
        <v>42048.36944444444</v>
      </c>
      <c r="D12" s="164">
        <f>SUM((C12-B12)*24)</f>
        <v>48.86666666652309</v>
      </c>
      <c r="E12" s="185" t="s">
        <v>76</v>
      </c>
      <c r="F12" s="166">
        <v>106292</v>
      </c>
      <c r="G12" s="167"/>
      <c r="H12" s="184">
        <v>42048.36944444444</v>
      </c>
      <c r="I12" s="186">
        <v>42048.381944444445</v>
      </c>
      <c r="J12" s="164">
        <f>SUM((I12-H12)*24)</f>
        <v>0.3000000001047738</v>
      </c>
      <c r="K12" s="164">
        <f>SUM((I12-H12)*24)</f>
        <v>0.3000000001047738</v>
      </c>
      <c r="L12" s="152" t="s">
        <v>24</v>
      </c>
      <c r="M12" s="187" t="s">
        <v>24</v>
      </c>
      <c r="N12" s="187" t="s">
        <v>24</v>
      </c>
      <c r="O12" s="152" t="s">
        <v>17</v>
      </c>
      <c r="P12" s="153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34" customFormat="1" ht="12.75">
      <c r="A13" s="149">
        <v>5</v>
      </c>
      <c r="B13" s="172">
        <v>42048.381944444445</v>
      </c>
      <c r="C13" s="172">
        <v>42052.333333333336</v>
      </c>
      <c r="D13" s="157">
        <f>SUM((C13-B13)*24)</f>
        <v>94.83333333337214</v>
      </c>
      <c r="E13" s="174" t="s">
        <v>69</v>
      </c>
      <c r="F13" s="175"/>
      <c r="G13" s="176"/>
      <c r="H13" s="188"/>
      <c r="I13" s="188"/>
      <c r="J13" s="157">
        <f>SUM((I13-H13)*24)</f>
        <v>0</v>
      </c>
      <c r="K13" s="157">
        <f>SUM((I13-H13)*24)</f>
        <v>0</v>
      </c>
      <c r="L13" s="176"/>
      <c r="M13" s="176"/>
      <c r="N13" s="176"/>
      <c r="O13" s="176" t="s">
        <v>21</v>
      </c>
      <c r="P13" s="150"/>
      <c r="Q13" s="35">
        <f t="shared" si="0"/>
      </c>
      <c r="R13" s="35">
        <f t="shared" si="1"/>
        <v>1</v>
      </c>
      <c r="S13" s="35">
        <f t="shared" si="2"/>
      </c>
      <c r="T13" s="36">
        <f t="shared" si="3"/>
        <v>1</v>
      </c>
      <c r="U13" s="30"/>
      <c r="V13" s="30"/>
      <c r="W13" s="30"/>
    </row>
    <row r="14" spans="1:23" s="34" customFormat="1" ht="12.75">
      <c r="A14" s="118"/>
      <c r="B14" s="155"/>
      <c r="C14" s="155"/>
      <c r="D14" s="119">
        <f>SUM(D12:D13)</f>
        <v>143.69999999989523</v>
      </c>
      <c r="E14" s="120"/>
      <c r="F14" s="121"/>
      <c r="G14" s="122"/>
      <c r="H14" s="123"/>
      <c r="I14" s="123"/>
      <c r="J14" s="124">
        <f>SUM(J12:J13)</f>
        <v>0.3000000001047738</v>
      </c>
      <c r="K14" s="124">
        <f>SUM(K12:K13)</f>
        <v>0.3000000001047738</v>
      </c>
      <c r="L14" s="125"/>
      <c r="M14" s="126"/>
      <c r="N14" s="126"/>
      <c r="O14" s="127"/>
      <c r="P14" s="84"/>
      <c r="Q14" s="35">
        <f t="shared" si="0"/>
      </c>
      <c r="R14" s="35">
        <f t="shared" si="1"/>
      </c>
      <c r="S14" s="35">
        <f t="shared" si="2"/>
      </c>
      <c r="T14" s="36">
        <f t="shared" si="3"/>
        <v>0</v>
      </c>
      <c r="U14" s="30"/>
      <c r="V14" s="30"/>
      <c r="W14" s="30"/>
    </row>
    <row r="15" spans="1:23" s="34" customFormat="1" ht="12.75">
      <c r="A15" s="87">
        <v>6</v>
      </c>
      <c r="B15" s="156">
        <v>42053.333333333336</v>
      </c>
      <c r="C15" s="156">
        <v>42056.45138888889</v>
      </c>
      <c r="D15" s="157">
        <f>SUM((C15-B15)*24)</f>
        <v>74.83333333331393</v>
      </c>
      <c r="E15" s="158" t="s">
        <v>77</v>
      </c>
      <c r="F15" s="159">
        <v>106294</v>
      </c>
      <c r="G15" s="160"/>
      <c r="H15" s="156">
        <v>42056.45138888889</v>
      </c>
      <c r="I15" s="161">
        <v>42056.49097222222</v>
      </c>
      <c r="J15" s="157">
        <f>SUM((I15-H15)*24)</f>
        <v>0.9499999999534339</v>
      </c>
      <c r="K15" s="157"/>
      <c r="L15" s="175"/>
      <c r="M15" s="175"/>
      <c r="N15" s="175"/>
      <c r="O15" s="88"/>
      <c r="P15" s="108" t="s">
        <v>80</v>
      </c>
      <c r="Q15" s="35">
        <f t="shared" si="0"/>
      </c>
      <c r="R15" s="35">
        <f t="shared" si="1"/>
      </c>
      <c r="S15" s="35">
        <f t="shared" si="2"/>
      </c>
      <c r="T15" s="36">
        <f aca="true" t="shared" si="4" ref="T15:T28">SUM(Q15:S15)</f>
        <v>0</v>
      </c>
      <c r="U15" s="30"/>
      <c r="V15" s="30"/>
      <c r="W15" s="30"/>
    </row>
    <row r="16" spans="1:23" s="34" customFormat="1" ht="12.75">
      <c r="A16" s="201"/>
      <c r="B16" s="202"/>
      <c r="C16" s="202"/>
      <c r="D16" s="164"/>
      <c r="E16" s="203"/>
      <c r="F16" s="204"/>
      <c r="G16" s="205"/>
      <c r="H16" s="206">
        <v>42056.45138888889</v>
      </c>
      <c r="I16" s="207">
        <v>42056.47222222222</v>
      </c>
      <c r="J16" s="208"/>
      <c r="K16" s="208">
        <f>SUM((I16-H16)*24)</f>
        <v>0.4999999998835847</v>
      </c>
      <c r="L16" s="209" t="s">
        <v>22</v>
      </c>
      <c r="M16" s="209" t="s">
        <v>22</v>
      </c>
      <c r="N16" s="209" t="s">
        <v>22</v>
      </c>
      <c r="O16" s="210" t="s">
        <v>17</v>
      </c>
      <c r="P16" s="211"/>
      <c r="Q16" s="35">
        <f t="shared" si="0"/>
        <v>1</v>
      </c>
      <c r="R16" s="35">
        <f t="shared" si="1"/>
      </c>
      <c r="S16" s="35">
        <f t="shared" si="2"/>
      </c>
      <c r="T16" s="36">
        <f>SUM(Q16:S16)</f>
        <v>1</v>
      </c>
      <c r="U16" s="30"/>
      <c r="V16" s="30"/>
      <c r="W16" s="30"/>
    </row>
    <row r="17" spans="1:23" s="34" customFormat="1" ht="12.75">
      <c r="A17" s="201"/>
      <c r="B17" s="202"/>
      <c r="C17" s="202"/>
      <c r="D17" s="164"/>
      <c r="E17" s="203"/>
      <c r="F17" s="204"/>
      <c r="G17" s="205"/>
      <c r="H17" s="212">
        <v>42056.47222222222</v>
      </c>
      <c r="I17" s="213">
        <v>42056.49097222222</v>
      </c>
      <c r="J17" s="214"/>
      <c r="K17" s="214">
        <f>SUM((I17-H17)*24)</f>
        <v>0.4500000000698492</v>
      </c>
      <c r="L17" s="215" t="s">
        <v>70</v>
      </c>
      <c r="M17" s="215" t="s">
        <v>70</v>
      </c>
      <c r="N17" s="215" t="s">
        <v>70</v>
      </c>
      <c r="O17" s="216" t="s">
        <v>73</v>
      </c>
      <c r="P17" s="217"/>
      <c r="Q17" s="35">
        <f t="shared" si="0"/>
      </c>
      <c r="R17" s="35">
        <f t="shared" si="1"/>
      </c>
      <c r="S17" s="35">
        <f t="shared" si="2"/>
        <v>1</v>
      </c>
      <c r="T17" s="36">
        <f>SUM(Q17:S17)</f>
        <v>1</v>
      </c>
      <c r="U17" s="30"/>
      <c r="V17" s="30"/>
      <c r="W17" s="30"/>
    </row>
    <row r="18" spans="1:23" s="34" customFormat="1" ht="12.75">
      <c r="A18" s="85">
        <v>7</v>
      </c>
      <c r="B18" s="184">
        <v>42056.49097222222</v>
      </c>
      <c r="C18" s="184">
        <v>42056.64027777778</v>
      </c>
      <c r="D18" s="164">
        <f>SUM((C18-B18)*24)</f>
        <v>3.583333333313931</v>
      </c>
      <c r="E18" s="185" t="s">
        <v>78</v>
      </c>
      <c r="F18" s="166">
        <v>106295</v>
      </c>
      <c r="G18" s="167"/>
      <c r="H18" s="184">
        <v>42056.64027777778</v>
      </c>
      <c r="I18" s="186">
        <v>42056.65902777778</v>
      </c>
      <c r="J18" s="164">
        <f>SUM((I18-H18)*24)</f>
        <v>0.4500000000698492</v>
      </c>
      <c r="K18" s="164">
        <f>SUM((I18-H18)*24)</f>
        <v>0.4500000000698492</v>
      </c>
      <c r="L18" s="152" t="s">
        <v>79</v>
      </c>
      <c r="M18" s="187" t="s">
        <v>79</v>
      </c>
      <c r="N18" s="187" t="s">
        <v>79</v>
      </c>
      <c r="O18" s="152" t="s">
        <v>17</v>
      </c>
      <c r="P18" s="153"/>
      <c r="Q18" s="35">
        <f t="shared" si="0"/>
        <v>1</v>
      </c>
      <c r="R18" s="35">
        <f t="shared" si="1"/>
      </c>
      <c r="S18" s="35">
        <f t="shared" si="2"/>
      </c>
      <c r="T18" s="36">
        <f t="shared" si="4"/>
        <v>1</v>
      </c>
      <c r="U18" s="30"/>
      <c r="V18" s="30"/>
      <c r="W18" s="30"/>
    </row>
    <row r="19" spans="1:23" s="34" customFormat="1" ht="12.75">
      <c r="A19" s="149">
        <v>8</v>
      </c>
      <c r="B19" s="172">
        <v>42056.65902777778</v>
      </c>
      <c r="C19" s="172">
        <v>42059.333333333336</v>
      </c>
      <c r="D19" s="157">
        <f>SUM((C19-B19)*24)</f>
        <v>64.18333333334886</v>
      </c>
      <c r="E19" s="174" t="s">
        <v>69</v>
      </c>
      <c r="F19" s="175"/>
      <c r="G19" s="176"/>
      <c r="H19" s="188"/>
      <c r="I19" s="188"/>
      <c r="J19" s="157">
        <f>SUM((I19-H19)*24)</f>
        <v>0</v>
      </c>
      <c r="K19" s="157">
        <f>SUM((I19-H19)*24)</f>
        <v>0</v>
      </c>
      <c r="L19" s="176"/>
      <c r="M19" s="176"/>
      <c r="N19" s="176"/>
      <c r="O19" s="176" t="s">
        <v>21</v>
      </c>
      <c r="P19" s="150"/>
      <c r="Q19" s="35">
        <f t="shared" si="0"/>
      </c>
      <c r="R19" s="35">
        <f t="shared" si="1"/>
        <v>1</v>
      </c>
      <c r="S19" s="35">
        <f t="shared" si="2"/>
      </c>
      <c r="T19" s="36">
        <f t="shared" si="4"/>
        <v>1</v>
      </c>
      <c r="U19" s="30"/>
      <c r="V19" s="30"/>
      <c r="W19" s="30"/>
    </row>
    <row r="20" spans="1:23" s="34" customFormat="1" ht="12.75">
      <c r="A20" s="118"/>
      <c r="B20" s="155"/>
      <c r="C20" s="155"/>
      <c r="D20" s="119">
        <f>SUM(D15:D19)</f>
        <v>142.59999999997672</v>
      </c>
      <c r="E20" s="120"/>
      <c r="F20" s="121"/>
      <c r="G20" s="122"/>
      <c r="H20" s="123"/>
      <c r="I20" s="123"/>
      <c r="J20" s="124">
        <f>SUM(J15:J19)</f>
        <v>1.400000000023283</v>
      </c>
      <c r="K20" s="124">
        <f>SUM(K15:K19)</f>
        <v>1.400000000023283</v>
      </c>
      <c r="L20" s="125"/>
      <c r="M20" s="126"/>
      <c r="N20" s="126"/>
      <c r="O20" s="127"/>
      <c r="P20" s="84"/>
      <c r="Q20" s="35">
        <f t="shared" si="0"/>
      </c>
      <c r="R20" s="35">
        <f t="shared" si="1"/>
      </c>
      <c r="S20" s="35">
        <f t="shared" si="2"/>
      </c>
      <c r="T20" s="36">
        <f t="shared" si="4"/>
        <v>0</v>
      </c>
      <c r="U20" s="30"/>
      <c r="V20" s="30"/>
      <c r="W20" s="30"/>
    </row>
    <row r="21" spans="1:23" s="34" customFormat="1" ht="12.75">
      <c r="A21" s="145">
        <v>9</v>
      </c>
      <c r="B21" s="154">
        <v>42060.333333333336</v>
      </c>
      <c r="C21" s="154">
        <v>42062.98541666667</v>
      </c>
      <c r="D21" s="157">
        <f>SUM((C21-B21)*24)</f>
        <v>63.65000000002328</v>
      </c>
      <c r="E21" s="146" t="s">
        <v>82</v>
      </c>
      <c r="F21" s="170">
        <v>106302</v>
      </c>
      <c r="G21" s="146"/>
      <c r="H21" s="154">
        <v>42062.98541666667</v>
      </c>
      <c r="I21" s="146">
        <v>42063.0375</v>
      </c>
      <c r="J21" s="157">
        <f>SUM((I21-H21)*24)</f>
        <v>1.2499999998835847</v>
      </c>
      <c r="K21" s="157">
        <f>SUM((I21-H21)*24)</f>
        <v>1.2499999998835847</v>
      </c>
      <c r="L21" s="147" t="s">
        <v>22</v>
      </c>
      <c r="M21" s="171" t="s">
        <v>22</v>
      </c>
      <c r="N21" s="171" t="s">
        <v>22</v>
      </c>
      <c r="O21" s="147" t="s">
        <v>17</v>
      </c>
      <c r="P21" s="148"/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30"/>
      <c r="V21" s="30"/>
      <c r="W21" s="30"/>
    </row>
    <row r="22" spans="1:23" s="34" customFormat="1" ht="12.75">
      <c r="A22" s="85">
        <v>10</v>
      </c>
      <c r="B22" s="162">
        <v>42063.0375</v>
      </c>
      <c r="C22" s="163">
        <v>42064.48611111111</v>
      </c>
      <c r="D22" s="164">
        <f>SUM((C22-B22)*24)</f>
        <v>34.766666666662786</v>
      </c>
      <c r="E22" s="165" t="s">
        <v>83</v>
      </c>
      <c r="F22" s="166">
        <v>106303</v>
      </c>
      <c r="G22" s="167"/>
      <c r="H22" s="163">
        <v>42064.48611111111</v>
      </c>
      <c r="I22" s="168">
        <v>42064.51875</v>
      </c>
      <c r="J22" s="164">
        <f>SUM((I22-H22)*24)</f>
        <v>0.7833333334419876</v>
      </c>
      <c r="K22" s="164">
        <f>SUM((I22-H22)*24)</f>
        <v>0.7833333334419876</v>
      </c>
      <c r="L22" s="86" t="s">
        <v>84</v>
      </c>
      <c r="M22" s="169" t="s">
        <v>84</v>
      </c>
      <c r="N22" s="169" t="s">
        <v>84</v>
      </c>
      <c r="O22" s="86" t="s">
        <v>17</v>
      </c>
      <c r="P22" s="107"/>
      <c r="Q22" s="35">
        <f t="shared" si="0"/>
        <v>1</v>
      </c>
      <c r="R22" s="35">
        <f t="shared" si="1"/>
      </c>
      <c r="S22" s="35">
        <f t="shared" si="2"/>
      </c>
      <c r="T22" s="36">
        <f t="shared" si="4"/>
        <v>1</v>
      </c>
      <c r="U22" s="30"/>
      <c r="V22" s="30"/>
      <c r="W22" s="30"/>
    </row>
    <row r="23" spans="1:23" s="34" customFormat="1" ht="12" customHeight="1">
      <c r="A23" s="149">
        <v>11</v>
      </c>
      <c r="B23" s="172">
        <v>42064.51875</v>
      </c>
      <c r="C23" s="173">
        <v>42065.333333333336</v>
      </c>
      <c r="D23" s="157">
        <f>SUM((C23-B23)*24)</f>
        <v>19.54999999998836</v>
      </c>
      <c r="E23" s="174" t="s">
        <v>68</v>
      </c>
      <c r="F23" s="175"/>
      <c r="G23" s="176"/>
      <c r="H23" s="177"/>
      <c r="I23" s="178"/>
      <c r="J23" s="157">
        <f>SUM((I23-H23)*24)</f>
        <v>0</v>
      </c>
      <c r="K23" s="157">
        <f>SUM((I23-H23)*24)</f>
        <v>0</v>
      </c>
      <c r="L23" s="151"/>
      <c r="M23" s="179"/>
      <c r="N23" s="179"/>
      <c r="O23" s="151" t="s">
        <v>21</v>
      </c>
      <c r="P23" s="150"/>
      <c r="Q23" s="35">
        <f t="shared" si="0"/>
      </c>
      <c r="R23" s="35">
        <f t="shared" si="1"/>
        <v>1</v>
      </c>
      <c r="S23" s="35">
        <f t="shared" si="2"/>
      </c>
      <c r="T23" s="36">
        <f t="shared" si="4"/>
        <v>1</v>
      </c>
      <c r="U23" s="30"/>
      <c r="V23" s="30"/>
      <c r="W23" s="30"/>
    </row>
    <row r="24" spans="1:23" s="34" customFormat="1" ht="12.75">
      <c r="A24" s="118"/>
      <c r="B24" s="155"/>
      <c r="C24" s="155"/>
      <c r="D24" s="180">
        <f>SUM(D21:D23)</f>
        <v>117.96666666667443</v>
      </c>
      <c r="E24" s="123"/>
      <c r="F24" s="181"/>
      <c r="G24" s="123"/>
      <c r="H24" s="123"/>
      <c r="I24" s="123"/>
      <c r="J24" s="182">
        <f>SUM(J21:J23)</f>
        <v>2.0333333333255723</v>
      </c>
      <c r="K24" s="182">
        <f>SUM(K21:K23)</f>
        <v>2.0333333333255723</v>
      </c>
      <c r="L24" s="127"/>
      <c r="M24" s="183"/>
      <c r="N24" s="183"/>
      <c r="O24" s="127"/>
      <c r="P24" s="84"/>
      <c r="Q24" s="35">
        <f t="shared" si="0"/>
      </c>
      <c r="R24" s="35">
        <f t="shared" si="1"/>
      </c>
      <c r="S24" s="35">
        <f t="shared" si="2"/>
      </c>
      <c r="T24" s="36">
        <f t="shared" si="4"/>
        <v>0</v>
      </c>
      <c r="U24" s="30"/>
      <c r="V24" s="30"/>
      <c r="W24" s="30"/>
    </row>
    <row r="25" spans="1:23" s="34" customFormat="1" ht="12.75">
      <c r="A25" s="85"/>
      <c r="B25" s="184"/>
      <c r="C25" s="184"/>
      <c r="D25" s="164">
        <f>SUM((C25-B25)*24)</f>
        <v>0</v>
      </c>
      <c r="E25" s="185" t="s">
        <v>85</v>
      </c>
      <c r="F25" s="166">
        <v>106304</v>
      </c>
      <c r="G25" s="167"/>
      <c r="H25" s="184">
        <v>42067.333333333336</v>
      </c>
      <c r="I25" s="186">
        <v>42067.354166666664</v>
      </c>
      <c r="J25" s="164">
        <f>SUM((I25-H25)*24)</f>
        <v>0.4999999998835847</v>
      </c>
      <c r="K25" s="164">
        <f>SUM((I25-H25)*24)</f>
        <v>0.4999999998835847</v>
      </c>
      <c r="L25" s="152" t="s">
        <v>86</v>
      </c>
      <c r="M25" s="187" t="s">
        <v>86</v>
      </c>
      <c r="N25" s="187" t="s">
        <v>86</v>
      </c>
      <c r="O25" s="152" t="s">
        <v>73</v>
      </c>
      <c r="P25" s="153"/>
      <c r="Q25" s="35">
        <f t="shared" si="0"/>
      </c>
      <c r="R25" s="35">
        <f t="shared" si="1"/>
      </c>
      <c r="S25" s="35">
        <f t="shared" si="2"/>
        <v>1</v>
      </c>
      <c r="T25" s="36">
        <f t="shared" si="4"/>
        <v>1</v>
      </c>
      <c r="U25" s="30"/>
      <c r="V25" s="30"/>
      <c r="W25" s="30"/>
    </row>
    <row r="26" spans="1:23" s="34" customFormat="1" ht="12.75">
      <c r="A26" s="149">
        <v>12</v>
      </c>
      <c r="B26" s="172">
        <v>42067.354166666664</v>
      </c>
      <c r="C26" s="172">
        <v>42073.333333333336</v>
      </c>
      <c r="D26" s="157">
        <f>SUM((C26-B26)*24-1)</f>
        <v>142.50000000011642</v>
      </c>
      <c r="E26" s="174" t="s">
        <v>69</v>
      </c>
      <c r="F26" s="175"/>
      <c r="G26" s="176"/>
      <c r="H26" s="188"/>
      <c r="I26" s="188"/>
      <c r="J26" s="157">
        <f>SUM((I26-H26)*24)</f>
        <v>0</v>
      </c>
      <c r="K26" s="157">
        <f>SUM((I26-H26)*24)</f>
        <v>0</v>
      </c>
      <c r="L26" s="176"/>
      <c r="M26" s="176"/>
      <c r="N26" s="176"/>
      <c r="O26" s="176" t="s">
        <v>21</v>
      </c>
      <c r="P26" s="150"/>
      <c r="Q26" s="35">
        <f t="shared" si="0"/>
      </c>
      <c r="R26" s="35">
        <f t="shared" si="1"/>
        <v>1</v>
      </c>
      <c r="S26" s="35">
        <f t="shared" si="2"/>
      </c>
      <c r="T26" s="36">
        <f t="shared" si="4"/>
        <v>1</v>
      </c>
      <c r="U26" s="30"/>
      <c r="V26" s="30"/>
      <c r="W26" s="30"/>
    </row>
    <row r="27" spans="1:23" s="34" customFormat="1" ht="12.75">
      <c r="A27" s="118"/>
      <c r="B27" s="155"/>
      <c r="C27" s="155"/>
      <c r="D27" s="119">
        <f>SUM(D25:D26)</f>
        <v>142.50000000011642</v>
      </c>
      <c r="E27" s="120"/>
      <c r="F27" s="121"/>
      <c r="G27" s="122"/>
      <c r="H27" s="123"/>
      <c r="I27" s="123"/>
      <c r="J27" s="124">
        <f>SUM(J25:J26)</f>
        <v>0.4999999998835847</v>
      </c>
      <c r="K27" s="124">
        <f>SUM(K25:K26)</f>
        <v>0.4999999998835847</v>
      </c>
      <c r="L27" s="125"/>
      <c r="M27" s="126"/>
      <c r="N27" s="126"/>
      <c r="O27" s="127"/>
      <c r="P27" s="84"/>
      <c r="Q27" s="35">
        <f t="shared" si="0"/>
      </c>
      <c r="R27" s="35">
        <f t="shared" si="1"/>
      </c>
      <c r="S27" s="35">
        <f t="shared" si="2"/>
      </c>
      <c r="T27" s="36">
        <f t="shared" si="4"/>
        <v>0</v>
      </c>
      <c r="U27" s="30"/>
      <c r="V27" s="30"/>
      <c r="W27" s="30"/>
    </row>
    <row r="28" spans="1:23" s="34" customFormat="1" ht="12.75">
      <c r="A28" s="149"/>
      <c r="B28" s="172"/>
      <c r="C28" s="172"/>
      <c r="D28" s="157">
        <f>SUM((C28-B28)*24)</f>
        <v>0</v>
      </c>
      <c r="E28" s="174" t="s">
        <v>87</v>
      </c>
      <c r="F28" s="175">
        <v>106305</v>
      </c>
      <c r="G28" s="176"/>
      <c r="H28" s="188">
        <v>42074.333333333336</v>
      </c>
      <c r="I28" s="188">
        <v>42074.34652777778</v>
      </c>
      <c r="J28" s="157">
        <f>SUM((I28-H28)*24)</f>
        <v>0.3166666666511446</v>
      </c>
      <c r="K28" s="157">
        <f>SUM((I28-H28)*24)</f>
        <v>0.3166666666511446</v>
      </c>
      <c r="L28" s="176" t="s">
        <v>66</v>
      </c>
      <c r="M28" s="176" t="s">
        <v>66</v>
      </c>
      <c r="N28" s="176" t="s">
        <v>66</v>
      </c>
      <c r="O28" s="176" t="s">
        <v>73</v>
      </c>
      <c r="P28" s="150"/>
      <c r="Q28" s="35">
        <f t="shared" si="0"/>
      </c>
      <c r="R28" s="35">
        <f t="shared" si="1"/>
      </c>
      <c r="S28" s="35">
        <f t="shared" si="2"/>
        <v>1</v>
      </c>
      <c r="T28" s="36">
        <f t="shared" si="4"/>
        <v>1</v>
      </c>
      <c r="U28" s="30"/>
      <c r="V28" s="30"/>
      <c r="W28" s="30"/>
    </row>
    <row r="29" spans="1:23" s="34" customFormat="1" ht="12.75">
      <c r="A29" s="85">
        <v>13</v>
      </c>
      <c r="B29" s="184">
        <v>42074.34652777778</v>
      </c>
      <c r="C29" s="184">
        <v>42080.263194444444</v>
      </c>
      <c r="D29" s="164">
        <f>SUM((C29-B29)*24)</f>
        <v>141.9999999999418</v>
      </c>
      <c r="E29" s="185" t="s">
        <v>88</v>
      </c>
      <c r="F29" s="166">
        <v>106307</v>
      </c>
      <c r="G29" s="167"/>
      <c r="H29" s="184">
        <v>42080.263194444444</v>
      </c>
      <c r="I29" s="186">
        <v>42080.28055555555</v>
      </c>
      <c r="J29" s="164">
        <f>SUM((I29-H29)*24)</f>
        <v>0.41666666662786156</v>
      </c>
      <c r="K29" s="164">
        <f>SUM((I29-H29)*24)</f>
        <v>0.41666666662786156</v>
      </c>
      <c r="L29" s="152" t="s">
        <v>22</v>
      </c>
      <c r="M29" s="187" t="s">
        <v>22</v>
      </c>
      <c r="N29" s="187" t="s">
        <v>22</v>
      </c>
      <c r="O29" s="152" t="s">
        <v>17</v>
      </c>
      <c r="P29" s="153"/>
      <c r="Q29" s="35">
        <f t="shared" si="0"/>
        <v>1</v>
      </c>
      <c r="R29" s="35">
        <f t="shared" si="1"/>
      </c>
      <c r="S29" s="35">
        <f t="shared" si="2"/>
      </c>
      <c r="T29" s="36">
        <f>SUM(Q29:S29)</f>
        <v>1</v>
      </c>
      <c r="U29" s="30"/>
      <c r="V29" s="30"/>
      <c r="W29" s="30"/>
    </row>
    <row r="30" spans="1:23" s="34" customFormat="1" ht="12.75">
      <c r="A30" s="149">
        <v>14</v>
      </c>
      <c r="B30" s="172">
        <v>42080.28055555555</v>
      </c>
      <c r="C30" s="172">
        <v>42080.333333333336</v>
      </c>
      <c r="D30" s="157">
        <f>SUM((C30-B30)*24)</f>
        <v>1.2666666667792015</v>
      </c>
      <c r="E30" s="174" t="s">
        <v>69</v>
      </c>
      <c r="F30" s="175"/>
      <c r="G30" s="176"/>
      <c r="H30" s="188"/>
      <c r="I30" s="188"/>
      <c r="J30" s="157">
        <f>SUM((I30-H30)*24)</f>
        <v>0</v>
      </c>
      <c r="K30" s="157">
        <f>SUM((I30-H30)*24)</f>
        <v>0</v>
      </c>
      <c r="L30" s="176"/>
      <c r="M30" s="176"/>
      <c r="N30" s="176"/>
      <c r="O30" s="176" t="s">
        <v>21</v>
      </c>
      <c r="P30" s="150"/>
      <c r="Q30" s="35">
        <f t="shared" si="0"/>
      </c>
      <c r="R30" s="35">
        <f t="shared" si="1"/>
        <v>1</v>
      </c>
      <c r="S30" s="35">
        <f t="shared" si="2"/>
      </c>
      <c r="T30" s="36">
        <f>SUM(Q30:S30)</f>
        <v>1</v>
      </c>
      <c r="U30" s="30"/>
      <c r="V30" s="30"/>
      <c r="W30" s="30"/>
    </row>
    <row r="31" spans="1:23" s="34" customFormat="1" ht="12.75">
      <c r="A31" s="118"/>
      <c r="B31" s="155"/>
      <c r="C31" s="155"/>
      <c r="D31" s="119">
        <f>SUM(D29:D30)</f>
        <v>143.266666666721</v>
      </c>
      <c r="E31" s="120"/>
      <c r="F31" s="121"/>
      <c r="G31" s="122"/>
      <c r="H31" s="123"/>
      <c r="I31" s="123"/>
      <c r="J31" s="124">
        <f>SUM(J28:J30)</f>
        <v>0.7333333332790062</v>
      </c>
      <c r="K31" s="124">
        <f>SUM(K28:K30)</f>
        <v>0.7333333332790062</v>
      </c>
      <c r="L31" s="125"/>
      <c r="M31" s="126"/>
      <c r="N31" s="126"/>
      <c r="O31" s="127"/>
      <c r="P31" s="84"/>
      <c r="Q31" s="35">
        <f t="shared" si="0"/>
      </c>
      <c r="R31" s="35">
        <f t="shared" si="1"/>
      </c>
      <c r="S31" s="35">
        <f t="shared" si="2"/>
      </c>
      <c r="T31" s="36">
        <f>SUM(Q31:S31)</f>
        <v>0</v>
      </c>
      <c r="U31" s="30"/>
      <c r="V31" s="30"/>
      <c r="W31" s="30"/>
    </row>
    <row r="32" spans="1:23" s="34" customFormat="1" ht="12.75">
      <c r="A32" s="85"/>
      <c r="B32" s="162"/>
      <c r="C32" s="163"/>
      <c r="D32" s="164">
        <f>SUM((C32-B32)*24)</f>
        <v>0</v>
      </c>
      <c r="E32" s="165" t="s">
        <v>89</v>
      </c>
      <c r="F32" s="166"/>
      <c r="G32" s="167"/>
      <c r="H32" s="163">
        <v>42081.333333333336</v>
      </c>
      <c r="I32" s="168">
        <v>42081.385416666664</v>
      </c>
      <c r="J32" s="164">
        <f>SUM((I32-H32)*24)</f>
        <v>1.2499999998835847</v>
      </c>
      <c r="K32" s="164">
        <f>SUM((I32-H32)*24)</f>
        <v>1.2499999998835847</v>
      </c>
      <c r="L32" s="86" t="s">
        <v>22</v>
      </c>
      <c r="M32" s="169" t="s">
        <v>22</v>
      </c>
      <c r="N32" s="169" t="s">
        <v>22</v>
      </c>
      <c r="O32" s="86" t="s">
        <v>73</v>
      </c>
      <c r="P32" s="107"/>
      <c r="Q32" s="35">
        <f t="shared" si="0"/>
      </c>
      <c r="R32" s="35">
        <f t="shared" si="1"/>
      </c>
      <c r="S32" s="35">
        <f t="shared" si="2"/>
        <v>1</v>
      </c>
      <c r="T32" s="36">
        <f aca="true" t="shared" si="5" ref="T32:T47">SUM(Q32:S32)</f>
        <v>1</v>
      </c>
      <c r="U32" s="30"/>
      <c r="V32" s="30"/>
      <c r="W32" s="30"/>
    </row>
    <row r="33" spans="1:23" s="34" customFormat="1" ht="12.75">
      <c r="A33" s="145">
        <v>15</v>
      </c>
      <c r="B33" s="154">
        <v>42081.385416666664</v>
      </c>
      <c r="C33" s="154">
        <v>42082.54791666667</v>
      </c>
      <c r="D33" s="228">
        <f>SUM((C33-B33)*24)</f>
        <v>27.9000000001397</v>
      </c>
      <c r="E33" s="146" t="s">
        <v>92</v>
      </c>
      <c r="F33" s="170">
        <v>106311</v>
      </c>
      <c r="G33" s="146"/>
      <c r="H33" s="154">
        <v>42082.54791666667</v>
      </c>
      <c r="I33" s="146">
        <v>42082.629166666666</v>
      </c>
      <c r="J33" s="228">
        <f>SUM((I33-H33)*24)</f>
        <v>1.9499999998952262</v>
      </c>
      <c r="K33" s="228">
        <f>SUM((I33-H33)*24)</f>
        <v>1.9499999998952262</v>
      </c>
      <c r="L33" s="147" t="s">
        <v>66</v>
      </c>
      <c r="M33" s="171" t="s">
        <v>66</v>
      </c>
      <c r="N33" s="171" t="s">
        <v>66</v>
      </c>
      <c r="O33" s="147" t="s">
        <v>17</v>
      </c>
      <c r="P33" s="148"/>
      <c r="Q33" s="35">
        <f t="shared" si="0"/>
        <v>1</v>
      </c>
      <c r="R33" s="35">
        <f t="shared" si="1"/>
      </c>
      <c r="S33" s="35">
        <f t="shared" si="2"/>
      </c>
      <c r="T33" s="36">
        <f t="shared" si="5"/>
        <v>1</v>
      </c>
      <c r="U33" s="30"/>
      <c r="V33" s="30"/>
      <c r="W33" s="30"/>
    </row>
    <row r="34" spans="1:23" s="34" customFormat="1" ht="12.75">
      <c r="A34" s="240">
        <v>16</v>
      </c>
      <c r="B34" s="241">
        <v>42082.629166666666</v>
      </c>
      <c r="C34" s="241">
        <v>42084.71388888889</v>
      </c>
      <c r="D34" s="164">
        <f>SUM((C34-B34)*24)</f>
        <v>50.03333333332557</v>
      </c>
      <c r="E34" s="242" t="s">
        <v>91</v>
      </c>
      <c r="F34" s="243">
        <v>106312</v>
      </c>
      <c r="G34" s="242"/>
      <c r="H34" s="241">
        <v>42084.71388888889</v>
      </c>
      <c r="I34" s="242">
        <v>42084.76180555556</v>
      </c>
      <c r="J34" s="164">
        <f>SUM((I34-H34)*24)</f>
        <v>1.1500000000814907</v>
      </c>
      <c r="K34" s="164">
        <f>SUM((I34-H34)*24)</f>
        <v>1.1500000000814907</v>
      </c>
      <c r="L34" s="244" t="s">
        <v>90</v>
      </c>
      <c r="M34" s="245" t="s">
        <v>90</v>
      </c>
      <c r="N34" s="245" t="s">
        <v>90</v>
      </c>
      <c r="O34" s="244" t="s">
        <v>17</v>
      </c>
      <c r="P34" s="246"/>
      <c r="Q34" s="227">
        <f t="shared" si="0"/>
        <v>1</v>
      </c>
      <c r="R34" s="35">
        <f t="shared" si="1"/>
      </c>
      <c r="S34" s="35">
        <f t="shared" si="2"/>
      </c>
      <c r="T34" s="36">
        <f>SUM(Q34:S34)</f>
        <v>1</v>
      </c>
      <c r="U34" s="30"/>
      <c r="V34" s="30"/>
      <c r="W34" s="30"/>
    </row>
    <row r="35" spans="1:23" s="34" customFormat="1" ht="12.75">
      <c r="A35" s="229">
        <v>17</v>
      </c>
      <c r="B35" s="230">
        <v>42084.76180555556</v>
      </c>
      <c r="C35" s="231">
        <v>42086.39027777778</v>
      </c>
      <c r="D35" s="232">
        <f>SUM((C35-B35)*24)</f>
        <v>39.08333333325572</v>
      </c>
      <c r="E35" s="233" t="s">
        <v>93</v>
      </c>
      <c r="F35" s="234">
        <v>106313</v>
      </c>
      <c r="G35" s="235"/>
      <c r="H35" s="231">
        <v>42086.39027777778</v>
      </c>
      <c r="I35" s="236">
        <v>42086.40694444445</v>
      </c>
      <c r="J35" s="232">
        <f>SUM((I35-H35)*24)</f>
        <v>0.4000000000814907</v>
      </c>
      <c r="K35" s="232">
        <f>SUM((I35-H35)*24)</f>
        <v>0.4000000000814907</v>
      </c>
      <c r="L35" s="237" t="s">
        <v>23</v>
      </c>
      <c r="M35" s="238" t="s">
        <v>23</v>
      </c>
      <c r="N35" s="238" t="s">
        <v>23</v>
      </c>
      <c r="O35" s="237" t="s">
        <v>17</v>
      </c>
      <c r="P35" s="239"/>
      <c r="Q35" s="35">
        <f t="shared" si="0"/>
        <v>1</v>
      </c>
      <c r="R35" s="35">
        <f t="shared" si="1"/>
      </c>
      <c r="S35" s="35">
        <f t="shared" si="2"/>
      </c>
      <c r="T35" s="36">
        <f t="shared" si="5"/>
        <v>1</v>
      </c>
      <c r="U35" s="30"/>
      <c r="V35" s="30"/>
      <c r="W35" s="30"/>
    </row>
    <row r="36" spans="1:23" s="34" customFormat="1" ht="12" customHeight="1">
      <c r="A36" s="218">
        <v>18</v>
      </c>
      <c r="B36" s="219">
        <v>42086.40694444445</v>
      </c>
      <c r="C36" s="220">
        <v>42087.333333333336</v>
      </c>
      <c r="D36" s="164">
        <f>SUM((C36-B36)*24)</f>
        <v>22.233333333337214</v>
      </c>
      <c r="E36" s="221" t="s">
        <v>68</v>
      </c>
      <c r="F36" s="222"/>
      <c r="G36" s="223"/>
      <c r="H36" s="224"/>
      <c r="I36" s="186"/>
      <c r="J36" s="164">
        <f>SUM((I36-H36)*24)</f>
        <v>0</v>
      </c>
      <c r="K36" s="164">
        <f>SUM((I36-H36)*24)</f>
        <v>0</v>
      </c>
      <c r="L36" s="225"/>
      <c r="M36" s="226"/>
      <c r="N36" s="226"/>
      <c r="O36" s="225" t="s">
        <v>21</v>
      </c>
      <c r="P36" s="153"/>
      <c r="Q36" s="35">
        <f t="shared" si="0"/>
      </c>
      <c r="R36" s="35">
        <f t="shared" si="1"/>
        <v>1</v>
      </c>
      <c r="S36" s="35">
        <f t="shared" si="2"/>
      </c>
      <c r="T36" s="36">
        <f t="shared" si="5"/>
        <v>1</v>
      </c>
      <c r="U36" s="30"/>
      <c r="V36" s="30"/>
      <c r="W36" s="30"/>
    </row>
    <row r="37" spans="1:23" s="34" customFormat="1" ht="12.75">
      <c r="A37" s="118"/>
      <c r="B37" s="155"/>
      <c r="C37" s="155"/>
      <c r="D37" s="180">
        <f>SUM(D32:D36)</f>
        <v>139.2500000000582</v>
      </c>
      <c r="E37" s="123"/>
      <c r="F37" s="181"/>
      <c r="G37" s="123"/>
      <c r="H37" s="123"/>
      <c r="I37" s="123"/>
      <c r="J37" s="182">
        <f>SUM(J32:J36)</f>
        <v>4.749999999941792</v>
      </c>
      <c r="K37" s="182">
        <f>SUM(K32:K36)</f>
        <v>4.749999999941792</v>
      </c>
      <c r="L37" s="127"/>
      <c r="M37" s="183"/>
      <c r="N37" s="183"/>
      <c r="O37" s="127"/>
      <c r="P37" s="84"/>
      <c r="Q37" s="35">
        <f t="shared" si="0"/>
      </c>
      <c r="R37" s="35">
        <f t="shared" si="1"/>
      </c>
      <c r="S37" s="35">
        <f t="shared" si="2"/>
      </c>
      <c r="T37" s="36">
        <f t="shared" si="5"/>
        <v>0</v>
      </c>
      <c r="U37" s="30"/>
      <c r="V37" s="30"/>
      <c r="W37" s="30"/>
    </row>
    <row r="38" spans="1:23" s="34" customFormat="1" ht="12.75">
      <c r="A38" s="85"/>
      <c r="B38" s="162"/>
      <c r="C38" s="163"/>
      <c r="D38" s="164">
        <f>SUM((C38-B38)*24)</f>
        <v>0</v>
      </c>
      <c r="E38" s="165"/>
      <c r="F38" s="166">
        <v>106314</v>
      </c>
      <c r="G38" s="167"/>
      <c r="H38" s="163">
        <v>42088.333333333336</v>
      </c>
      <c r="I38" s="168">
        <v>42088.34930555556</v>
      </c>
      <c r="J38" s="164">
        <f>SUM((I38-H38)*24)</f>
        <v>0.3833333333604969</v>
      </c>
      <c r="K38" s="164">
        <f>SUM((I38-H38)*24)</f>
        <v>0.3833333333604969</v>
      </c>
      <c r="L38" s="86" t="s">
        <v>23</v>
      </c>
      <c r="M38" s="169" t="s">
        <v>23</v>
      </c>
      <c r="N38" s="169" t="s">
        <v>23</v>
      </c>
      <c r="O38" s="86" t="s">
        <v>73</v>
      </c>
      <c r="P38" s="107" t="s">
        <v>94</v>
      </c>
      <c r="Q38" s="35">
        <f t="shared" si="0"/>
      </c>
      <c r="R38" s="35">
        <f t="shared" si="1"/>
      </c>
      <c r="S38" s="35">
        <f t="shared" si="2"/>
        <v>1</v>
      </c>
      <c r="T38" s="36">
        <f t="shared" si="5"/>
        <v>1</v>
      </c>
      <c r="U38" s="30"/>
      <c r="V38" s="30"/>
      <c r="W38" s="30"/>
    </row>
    <row r="39" spans="1:23" s="34" customFormat="1" ht="12.75">
      <c r="A39" s="145">
        <v>20</v>
      </c>
      <c r="B39" s="154">
        <v>42088.34930555556</v>
      </c>
      <c r="C39" s="154">
        <v>42089.09930555556</v>
      </c>
      <c r="D39" s="157">
        <f>SUM((C39-B39)*24)</f>
        <v>18</v>
      </c>
      <c r="E39" s="146" t="s">
        <v>95</v>
      </c>
      <c r="F39" s="170">
        <v>106315</v>
      </c>
      <c r="G39" s="146"/>
      <c r="H39" s="154">
        <v>42089.09930555556</v>
      </c>
      <c r="I39" s="146">
        <v>42089.20277777778</v>
      </c>
      <c r="J39" s="157">
        <f>SUM((I39-H39)*24)</f>
        <v>2.4833333332207985</v>
      </c>
      <c r="K39" s="157">
        <f>SUM((I39-H39)*24)</f>
        <v>2.4833333332207985</v>
      </c>
      <c r="L39" s="147" t="s">
        <v>70</v>
      </c>
      <c r="M39" s="171" t="s">
        <v>70</v>
      </c>
      <c r="N39" s="171" t="s">
        <v>70</v>
      </c>
      <c r="O39" s="147" t="s">
        <v>17</v>
      </c>
      <c r="P39" s="148"/>
      <c r="Q39" s="35">
        <f t="shared" si="0"/>
        <v>1</v>
      </c>
      <c r="R39" s="35">
        <f t="shared" si="1"/>
      </c>
      <c r="S39" s="35">
        <f t="shared" si="2"/>
      </c>
      <c r="T39" s="36">
        <f t="shared" si="5"/>
        <v>1</v>
      </c>
      <c r="U39" s="30"/>
      <c r="V39" s="30"/>
      <c r="W39" s="30"/>
    </row>
    <row r="40" spans="1:23" s="34" customFormat="1" ht="12.75">
      <c r="A40" s="85">
        <v>21</v>
      </c>
      <c r="B40" s="162">
        <v>42089.20277777778</v>
      </c>
      <c r="C40" s="163">
        <v>42092.4</v>
      </c>
      <c r="D40" s="164">
        <f>SUM((C40-B40)*24)</f>
        <v>76.73333333339542</v>
      </c>
      <c r="E40" s="165" t="s">
        <v>96</v>
      </c>
      <c r="F40" s="166">
        <v>106316</v>
      </c>
      <c r="G40" s="167"/>
      <c r="H40" s="163">
        <v>42092.4</v>
      </c>
      <c r="I40" s="168">
        <v>42092.49375</v>
      </c>
      <c r="J40" s="164">
        <f>SUM((I40-H40)*24)</f>
        <v>2.25</v>
      </c>
      <c r="K40" s="164">
        <f>SUM((I40-H40)*24)</f>
        <v>2.25</v>
      </c>
      <c r="L40" s="86" t="s">
        <v>66</v>
      </c>
      <c r="M40" s="169" t="s">
        <v>66</v>
      </c>
      <c r="N40" s="169" t="s">
        <v>66</v>
      </c>
      <c r="O40" s="86" t="s">
        <v>17</v>
      </c>
      <c r="P40" s="107"/>
      <c r="Q40" s="35">
        <f t="shared" si="0"/>
        <v>1</v>
      </c>
      <c r="R40" s="35">
        <f t="shared" si="1"/>
      </c>
      <c r="S40" s="35">
        <f t="shared" si="2"/>
      </c>
      <c r="T40" s="36">
        <f t="shared" si="5"/>
        <v>1</v>
      </c>
      <c r="U40" s="30"/>
      <c r="V40" s="30"/>
      <c r="W40" s="30"/>
    </row>
    <row r="41" spans="1:23" s="34" customFormat="1" ht="12" customHeight="1">
      <c r="A41" s="149">
        <v>22</v>
      </c>
      <c r="B41" s="172">
        <v>42092.49375</v>
      </c>
      <c r="C41" s="173">
        <v>42094.333333333336</v>
      </c>
      <c r="D41" s="157">
        <f>SUM((C41-B41)*24)</f>
        <v>44.15000000002328</v>
      </c>
      <c r="E41" s="174" t="s">
        <v>68</v>
      </c>
      <c r="F41" s="175"/>
      <c r="G41" s="176"/>
      <c r="H41" s="177"/>
      <c r="I41" s="178"/>
      <c r="J41" s="157">
        <f>SUM((I41-H41)*24)</f>
        <v>0</v>
      </c>
      <c r="K41" s="157">
        <f>SUM((I41-H41)*24)</f>
        <v>0</v>
      </c>
      <c r="L41" s="151"/>
      <c r="M41" s="179"/>
      <c r="N41" s="179"/>
      <c r="O41" s="151" t="s">
        <v>21</v>
      </c>
      <c r="P41" s="150"/>
      <c r="Q41" s="35">
        <f t="shared" si="0"/>
      </c>
      <c r="R41" s="35">
        <f t="shared" si="1"/>
        <v>1</v>
      </c>
      <c r="S41" s="35">
        <f t="shared" si="2"/>
      </c>
      <c r="T41" s="36">
        <f t="shared" si="5"/>
        <v>1</v>
      </c>
      <c r="U41" s="30"/>
      <c r="V41" s="30"/>
      <c r="W41" s="30"/>
    </row>
    <row r="42" spans="1:23" s="34" customFormat="1" ht="12.75">
      <c r="A42" s="118"/>
      <c r="B42" s="155"/>
      <c r="C42" s="155"/>
      <c r="D42" s="180">
        <f>SUM(D38:D41)</f>
        <v>138.8833333334187</v>
      </c>
      <c r="E42" s="123"/>
      <c r="F42" s="181"/>
      <c r="G42" s="123"/>
      <c r="H42" s="123"/>
      <c r="I42" s="123"/>
      <c r="J42" s="182">
        <f>SUM(J38:J41)</f>
        <v>5.116666666581295</v>
      </c>
      <c r="K42" s="182">
        <f>SUM(K38:K41)</f>
        <v>5.116666666581295</v>
      </c>
      <c r="L42" s="127"/>
      <c r="M42" s="183"/>
      <c r="N42" s="183"/>
      <c r="O42" s="127"/>
      <c r="P42" s="84"/>
      <c r="Q42" s="35">
        <f t="shared" si="0"/>
      </c>
      <c r="R42" s="35">
        <f t="shared" si="1"/>
      </c>
      <c r="S42" s="35">
        <f t="shared" si="2"/>
      </c>
      <c r="T42" s="36">
        <f t="shared" si="5"/>
        <v>0</v>
      </c>
      <c r="U42" s="30"/>
      <c r="V42" s="30"/>
      <c r="W42" s="30"/>
    </row>
    <row r="43" spans="1:23" s="34" customFormat="1" ht="12.75">
      <c r="A43" s="149">
        <v>23</v>
      </c>
      <c r="B43" s="172">
        <v>42095.333333333336</v>
      </c>
      <c r="C43" s="172">
        <v>42101.333333333336</v>
      </c>
      <c r="D43" s="157">
        <f>SUM((C43-B43)*24)</f>
        <v>144</v>
      </c>
      <c r="E43" s="174" t="s">
        <v>69</v>
      </c>
      <c r="F43" s="175"/>
      <c r="G43" s="176"/>
      <c r="H43" s="188"/>
      <c r="I43" s="188"/>
      <c r="J43" s="157">
        <f>SUM((I43-H43)*24)</f>
        <v>0</v>
      </c>
      <c r="K43" s="157">
        <f>SUM((I43-H43)*24)</f>
        <v>0</v>
      </c>
      <c r="L43" s="176"/>
      <c r="M43" s="176"/>
      <c r="N43" s="176"/>
      <c r="O43" s="176" t="s">
        <v>21</v>
      </c>
      <c r="P43" s="150"/>
      <c r="Q43" s="35">
        <f t="shared" si="0"/>
      </c>
      <c r="R43" s="35">
        <f t="shared" si="1"/>
        <v>1</v>
      </c>
      <c r="S43" s="35">
        <f t="shared" si="2"/>
      </c>
      <c r="T43" s="36">
        <f t="shared" si="5"/>
        <v>1</v>
      </c>
      <c r="U43" s="30"/>
      <c r="V43" s="30"/>
      <c r="W43" s="30"/>
    </row>
    <row r="44" spans="1:23" s="34" customFormat="1" ht="12.75">
      <c r="A44" s="118"/>
      <c r="B44" s="155"/>
      <c r="C44" s="155"/>
      <c r="D44" s="119">
        <f>SUM(D43:D43)</f>
        <v>144</v>
      </c>
      <c r="E44" s="120"/>
      <c r="F44" s="121"/>
      <c r="G44" s="122"/>
      <c r="H44" s="123"/>
      <c r="I44" s="123"/>
      <c r="J44" s="124">
        <f>SUM(J43:J43)</f>
        <v>0</v>
      </c>
      <c r="K44" s="124">
        <f>SUM(K43:K43)</f>
        <v>0</v>
      </c>
      <c r="L44" s="125"/>
      <c r="M44" s="126"/>
      <c r="N44" s="126"/>
      <c r="O44" s="127"/>
      <c r="P44" s="84"/>
      <c r="Q44" s="35">
        <f t="shared" si="0"/>
      </c>
      <c r="R44" s="35">
        <f t="shared" si="1"/>
      </c>
      <c r="S44" s="35">
        <f t="shared" si="2"/>
      </c>
      <c r="T44" s="36">
        <f t="shared" si="5"/>
        <v>0</v>
      </c>
      <c r="U44" s="30"/>
      <c r="V44" s="30"/>
      <c r="W44" s="30"/>
    </row>
    <row r="45" spans="1:23" s="34" customFormat="1" ht="12.75">
      <c r="A45" s="85">
        <v>24</v>
      </c>
      <c r="B45" s="184">
        <v>42102.333333333336</v>
      </c>
      <c r="C45" s="184">
        <v>42106.888194444444</v>
      </c>
      <c r="D45" s="164">
        <f>SUM((C45-B45)*24)</f>
        <v>109.31666666659294</v>
      </c>
      <c r="E45" s="185" t="s">
        <v>97</v>
      </c>
      <c r="F45" s="166">
        <v>106320</v>
      </c>
      <c r="G45" s="167"/>
      <c r="H45" s="184">
        <v>42106.888194444444</v>
      </c>
      <c r="I45" s="186">
        <v>42106.967361111114</v>
      </c>
      <c r="J45" s="164">
        <f>SUM((I45-H45)*24)</f>
        <v>1.9000000000814907</v>
      </c>
      <c r="K45" s="164">
        <f>SUM((I45-H45)*24)</f>
        <v>1.9000000000814907</v>
      </c>
      <c r="L45" s="152" t="s">
        <v>22</v>
      </c>
      <c r="M45" s="187" t="s">
        <v>22</v>
      </c>
      <c r="N45" s="187" t="s">
        <v>22</v>
      </c>
      <c r="O45" s="152" t="s">
        <v>17</v>
      </c>
      <c r="P45" s="153"/>
      <c r="Q45" s="35">
        <f t="shared" si="0"/>
        <v>1</v>
      </c>
      <c r="R45" s="35">
        <f t="shared" si="1"/>
      </c>
      <c r="S45" s="35">
        <f t="shared" si="2"/>
      </c>
      <c r="T45" s="36">
        <f t="shared" si="5"/>
        <v>1</v>
      </c>
      <c r="U45" s="30"/>
      <c r="V45" s="30"/>
      <c r="W45" s="30"/>
    </row>
    <row r="46" spans="1:23" s="34" customFormat="1" ht="12.75">
      <c r="A46" s="149">
        <v>25</v>
      </c>
      <c r="B46" s="172">
        <v>42106.967361111114</v>
      </c>
      <c r="C46" s="172">
        <v>42108.333333333336</v>
      </c>
      <c r="D46" s="157">
        <f>SUM((C46-B46)*24)</f>
        <v>32.78333333332557</v>
      </c>
      <c r="E46" s="174" t="s">
        <v>69</v>
      </c>
      <c r="F46" s="175"/>
      <c r="G46" s="176"/>
      <c r="H46" s="188"/>
      <c r="I46" s="188"/>
      <c r="J46" s="157">
        <f>SUM((I46-H46)*24)</f>
        <v>0</v>
      </c>
      <c r="K46" s="157">
        <f>SUM((I46-H46)*24)</f>
        <v>0</v>
      </c>
      <c r="L46" s="176"/>
      <c r="M46" s="176"/>
      <c r="N46" s="176"/>
      <c r="O46" s="176" t="s">
        <v>21</v>
      </c>
      <c r="P46" s="150"/>
      <c r="Q46" s="35">
        <f t="shared" si="0"/>
      </c>
      <c r="R46" s="35">
        <f t="shared" si="1"/>
        <v>1</v>
      </c>
      <c r="S46" s="35">
        <f t="shared" si="2"/>
      </c>
      <c r="T46" s="36">
        <f t="shared" si="5"/>
        <v>1</v>
      </c>
      <c r="U46" s="30"/>
      <c r="V46" s="30"/>
      <c r="W46" s="30"/>
    </row>
    <row r="47" spans="1:23" s="34" customFormat="1" ht="12.75">
      <c r="A47" s="118"/>
      <c r="B47" s="155"/>
      <c r="C47" s="155"/>
      <c r="D47" s="119">
        <f>SUM(D45:D46)</f>
        <v>142.0999999999185</v>
      </c>
      <c r="E47" s="120"/>
      <c r="F47" s="121"/>
      <c r="G47" s="122"/>
      <c r="H47" s="123"/>
      <c r="I47" s="123"/>
      <c r="J47" s="124">
        <f>SUM(J45:J46)</f>
        <v>1.9000000000814907</v>
      </c>
      <c r="K47" s="124">
        <f>SUM(K45:K46)</f>
        <v>1.9000000000814907</v>
      </c>
      <c r="L47" s="125"/>
      <c r="M47" s="126"/>
      <c r="N47" s="126"/>
      <c r="O47" s="127"/>
      <c r="P47" s="84"/>
      <c r="Q47" s="35">
        <f t="shared" si="0"/>
      </c>
      <c r="R47" s="35">
        <f t="shared" si="1"/>
      </c>
      <c r="S47" s="35">
        <f t="shared" si="2"/>
      </c>
      <c r="T47" s="36">
        <f t="shared" si="5"/>
        <v>0</v>
      </c>
      <c r="U47" s="30"/>
      <c r="V47" s="30"/>
      <c r="W47" s="30"/>
    </row>
    <row r="48" spans="1:23" s="34" customFormat="1" ht="12.75">
      <c r="A48" s="85">
        <v>26</v>
      </c>
      <c r="B48" s="184">
        <v>42109.333333333336</v>
      </c>
      <c r="C48" s="184">
        <v>42109.87569444445</v>
      </c>
      <c r="D48" s="164">
        <f>SUM((C48-B48)*24)</f>
        <v>13.016666666662786</v>
      </c>
      <c r="E48" s="185" t="s">
        <v>98</v>
      </c>
      <c r="F48" s="166">
        <v>106323</v>
      </c>
      <c r="G48" s="167"/>
      <c r="H48" s="184">
        <v>42109.87569444445</v>
      </c>
      <c r="I48" s="186">
        <v>42109.904861111114</v>
      </c>
      <c r="J48" s="164">
        <f>SUM((I48-H48)*24)</f>
        <v>0.7000000000116415</v>
      </c>
      <c r="K48" s="164">
        <f>SUM((I48-H48)*24)</f>
        <v>0.7000000000116415</v>
      </c>
      <c r="L48" s="152" t="s">
        <v>79</v>
      </c>
      <c r="M48" s="187" t="s">
        <v>79</v>
      </c>
      <c r="N48" s="187" t="s">
        <v>79</v>
      </c>
      <c r="O48" s="152" t="s">
        <v>17</v>
      </c>
      <c r="P48" s="153"/>
      <c r="Q48" s="35">
        <f t="shared" si="0"/>
        <v>1</v>
      </c>
      <c r="R48" s="35">
        <f t="shared" si="1"/>
      </c>
      <c r="S48" s="35">
        <f t="shared" si="2"/>
      </c>
      <c r="T48" s="36">
        <f>SUM(Q48:S48)</f>
        <v>1</v>
      </c>
      <c r="U48" s="30"/>
      <c r="V48" s="30"/>
      <c r="W48" s="30"/>
    </row>
    <row r="49" spans="1:23" s="34" customFormat="1" ht="12.75">
      <c r="A49" s="149">
        <v>27</v>
      </c>
      <c r="B49" s="172">
        <v>42109.904861111114</v>
      </c>
      <c r="C49" s="172">
        <v>42115.333333333336</v>
      </c>
      <c r="D49" s="157">
        <f>SUM((C49-B49)*24)</f>
        <v>130.28333333332557</v>
      </c>
      <c r="E49" s="174" t="s">
        <v>69</v>
      </c>
      <c r="F49" s="175"/>
      <c r="G49" s="176"/>
      <c r="H49" s="188"/>
      <c r="I49" s="188"/>
      <c r="J49" s="157">
        <f>SUM((I49-H49)*24)</f>
        <v>0</v>
      </c>
      <c r="K49" s="157">
        <f>SUM((I49-H49)*24)</f>
        <v>0</v>
      </c>
      <c r="L49" s="176"/>
      <c r="M49" s="176"/>
      <c r="N49" s="176"/>
      <c r="O49" s="176" t="s">
        <v>21</v>
      </c>
      <c r="P49" s="150"/>
      <c r="Q49" s="35">
        <f t="shared" si="0"/>
      </c>
      <c r="R49" s="35">
        <f t="shared" si="1"/>
        <v>1</v>
      </c>
      <c r="S49" s="35">
        <f t="shared" si="2"/>
      </c>
      <c r="T49" s="36">
        <f>SUM(Q49:S49)</f>
        <v>1</v>
      </c>
      <c r="U49" s="30"/>
      <c r="V49" s="30"/>
      <c r="W49" s="30"/>
    </row>
    <row r="50" spans="1:23" s="34" customFormat="1" ht="12.75">
      <c r="A50" s="118"/>
      <c r="B50" s="155"/>
      <c r="C50" s="155"/>
      <c r="D50" s="119">
        <f>SUM(D48:D49)</f>
        <v>143.29999999998836</v>
      </c>
      <c r="E50" s="120"/>
      <c r="F50" s="121"/>
      <c r="G50" s="122"/>
      <c r="H50" s="123"/>
      <c r="I50" s="123"/>
      <c r="J50" s="124">
        <f>SUM(J48:J49)</f>
        <v>0.7000000000116415</v>
      </c>
      <c r="K50" s="124">
        <f>SUM(K48:K49)</f>
        <v>0.7000000000116415</v>
      </c>
      <c r="L50" s="125"/>
      <c r="M50" s="126"/>
      <c r="N50" s="126"/>
      <c r="O50" s="127"/>
      <c r="P50" s="84"/>
      <c r="Q50" s="35">
        <f t="shared" si="0"/>
      </c>
      <c r="R50" s="35">
        <f t="shared" si="1"/>
      </c>
      <c r="S50" s="35">
        <f t="shared" si="2"/>
      </c>
      <c r="T50" s="36">
        <f>SUM(Q50:S50)</f>
        <v>0</v>
      </c>
      <c r="U50" s="30"/>
      <c r="V50" s="30"/>
      <c r="W50" s="30"/>
    </row>
    <row r="51" spans="1:23" s="34" customFormat="1" ht="12.75">
      <c r="A51" s="85"/>
      <c r="B51" s="162"/>
      <c r="C51" s="163"/>
      <c r="D51" s="164">
        <f>SUM((C51-B51)*24)</f>
        <v>0</v>
      </c>
      <c r="E51" s="165"/>
      <c r="F51" s="166">
        <v>106325</v>
      </c>
      <c r="G51" s="167"/>
      <c r="H51" s="163">
        <v>42116.333333333336</v>
      </c>
      <c r="I51" s="168">
        <v>42116.356944444444</v>
      </c>
      <c r="J51" s="164">
        <f>SUM((I51-H51)*24)</f>
        <v>0.566666666592937</v>
      </c>
      <c r="K51" s="164">
        <f>SUM((I51-H51)*24)</f>
        <v>0.566666666592937</v>
      </c>
      <c r="L51" s="86" t="s">
        <v>23</v>
      </c>
      <c r="M51" s="169" t="s">
        <v>23</v>
      </c>
      <c r="N51" s="169" t="s">
        <v>23</v>
      </c>
      <c r="O51" s="86" t="s">
        <v>73</v>
      </c>
      <c r="P51" s="107" t="s">
        <v>99</v>
      </c>
      <c r="Q51" s="35">
        <f t="shared" si="0"/>
      </c>
      <c r="R51" s="35">
        <f t="shared" si="1"/>
      </c>
      <c r="S51" s="35">
        <f t="shared" si="2"/>
        <v>1</v>
      </c>
      <c r="T51" s="36">
        <f>SUM(Q51:S51)</f>
        <v>1</v>
      </c>
      <c r="U51" s="30"/>
      <c r="V51" s="30"/>
      <c r="W51" s="30"/>
    </row>
    <row r="52" spans="1:23" s="34" customFormat="1" ht="12.75">
      <c r="A52" s="145">
        <v>29</v>
      </c>
      <c r="B52" s="154">
        <v>42116.356944444444</v>
      </c>
      <c r="C52" s="154">
        <v>42118.63263888889</v>
      </c>
      <c r="D52" s="157">
        <f>SUM((C52-B52)*24)</f>
        <v>54.61666666675592</v>
      </c>
      <c r="E52" s="146" t="s">
        <v>100</v>
      </c>
      <c r="F52" s="170">
        <v>106326</v>
      </c>
      <c r="G52" s="146"/>
      <c r="H52" s="154">
        <v>42118.63263888889</v>
      </c>
      <c r="I52" s="146">
        <v>42118.65555555555</v>
      </c>
      <c r="J52" s="157">
        <f>SUM((I52-H52)*24)</f>
        <v>0.5499999998719431</v>
      </c>
      <c r="K52" s="157">
        <f>SUM((I52-H52)*24)</f>
        <v>0.5499999998719431</v>
      </c>
      <c r="L52" s="147" t="s">
        <v>24</v>
      </c>
      <c r="M52" s="171" t="s">
        <v>24</v>
      </c>
      <c r="N52" s="171" t="s">
        <v>24</v>
      </c>
      <c r="O52" s="147" t="s">
        <v>17</v>
      </c>
      <c r="P52" s="148"/>
      <c r="Q52" s="35">
        <f t="shared" si="0"/>
        <v>1</v>
      </c>
      <c r="R52" s="35">
        <f t="shared" si="1"/>
      </c>
      <c r="S52" s="35">
        <f t="shared" si="2"/>
      </c>
      <c r="T52" s="36">
        <f>SUM(Q52:S52)</f>
        <v>1</v>
      </c>
      <c r="U52" s="30"/>
      <c r="V52" s="30"/>
      <c r="W52" s="30"/>
    </row>
    <row r="53" spans="1:23" s="34" customFormat="1" ht="12.75">
      <c r="A53" s="85">
        <v>30</v>
      </c>
      <c r="B53" s="162">
        <v>42118.65555555555</v>
      </c>
      <c r="C53" s="163">
        <v>42121.665972222225</v>
      </c>
      <c r="D53" s="164">
        <f>SUM((C53-B53)*24)</f>
        <v>72.25000000011642</v>
      </c>
      <c r="E53" s="165"/>
      <c r="F53" s="166">
        <v>106327</v>
      </c>
      <c r="G53" s="167"/>
      <c r="H53" s="163">
        <v>42121.665972222225</v>
      </c>
      <c r="I53" s="168">
        <v>42121.69375</v>
      </c>
      <c r="J53" s="164">
        <f>SUM((I53-H53)*24)</f>
        <v>0.6666666665696539</v>
      </c>
      <c r="K53" s="164">
        <f>SUM((I53-H53)*24)</f>
        <v>0.6666666665696539</v>
      </c>
      <c r="L53" s="86" t="s">
        <v>67</v>
      </c>
      <c r="M53" s="169" t="s">
        <v>67</v>
      </c>
      <c r="N53" s="169" t="s">
        <v>67</v>
      </c>
      <c r="O53" s="86" t="s">
        <v>17</v>
      </c>
      <c r="P53" s="107"/>
      <c r="Q53" s="35">
        <f t="shared" si="0"/>
        <v>1</v>
      </c>
      <c r="R53" s="35">
        <f t="shared" si="1"/>
      </c>
      <c r="S53" s="35">
        <f t="shared" si="2"/>
      </c>
      <c r="T53" s="36">
        <f>SUM(Q53:S53)</f>
        <v>1</v>
      </c>
      <c r="U53" s="30"/>
      <c r="V53" s="30"/>
      <c r="W53" s="30"/>
    </row>
    <row r="54" spans="1:23" s="34" customFormat="1" ht="12" customHeight="1">
      <c r="A54" s="149">
        <v>31</v>
      </c>
      <c r="B54" s="172">
        <v>42121.69375</v>
      </c>
      <c r="C54" s="173">
        <v>42122.333333333336</v>
      </c>
      <c r="D54" s="157">
        <f>SUM((C54-B54)*24)</f>
        <v>15.350000000093132</v>
      </c>
      <c r="E54" s="174" t="s">
        <v>68</v>
      </c>
      <c r="F54" s="175"/>
      <c r="G54" s="176"/>
      <c r="H54" s="177"/>
      <c r="I54" s="178"/>
      <c r="J54" s="157">
        <f>SUM((I54-H54)*24)</f>
        <v>0</v>
      </c>
      <c r="K54" s="157">
        <f>SUM((I54-H54)*24)</f>
        <v>0</v>
      </c>
      <c r="L54" s="151"/>
      <c r="M54" s="179"/>
      <c r="N54" s="179"/>
      <c r="O54" s="151" t="s">
        <v>21</v>
      </c>
      <c r="P54" s="150"/>
      <c r="Q54" s="35">
        <f t="shared" si="0"/>
      </c>
      <c r="R54" s="35">
        <f t="shared" si="1"/>
        <v>1</v>
      </c>
      <c r="S54" s="35">
        <f t="shared" si="2"/>
      </c>
      <c r="T54" s="36">
        <f>SUM(Q54:S54)</f>
        <v>1</v>
      </c>
      <c r="U54" s="30"/>
      <c r="V54" s="30"/>
      <c r="W54" s="30"/>
    </row>
    <row r="55" spans="1:23" s="34" customFormat="1" ht="12.75">
      <c r="A55" s="118"/>
      <c r="B55" s="155"/>
      <c r="C55" s="155"/>
      <c r="D55" s="180">
        <f>SUM(D51:D54)</f>
        <v>142.21666666696547</v>
      </c>
      <c r="E55" s="123"/>
      <c r="F55" s="181"/>
      <c r="G55" s="123"/>
      <c r="H55" s="123"/>
      <c r="I55" s="123"/>
      <c r="J55" s="182">
        <f>SUM(J51:J54)</f>
        <v>1.783333333034534</v>
      </c>
      <c r="K55" s="182">
        <f>SUM(K51:K54)</f>
        <v>1.783333333034534</v>
      </c>
      <c r="L55" s="127"/>
      <c r="M55" s="183"/>
      <c r="N55" s="183"/>
      <c r="O55" s="127"/>
      <c r="P55" s="84"/>
      <c r="Q55" s="35">
        <f t="shared" si="0"/>
      </c>
      <c r="R55" s="35">
        <f t="shared" si="1"/>
      </c>
      <c r="S55" s="35">
        <f t="shared" si="2"/>
      </c>
      <c r="T55" s="36">
        <f>SUM(Q55:S55)</f>
        <v>0</v>
      </c>
      <c r="U55" s="30"/>
      <c r="V55" s="30"/>
      <c r="W55" s="30"/>
    </row>
    <row r="56" spans="1:23" s="141" customFormat="1" ht="12.75">
      <c r="A56" s="129"/>
      <c r="B56" s="130"/>
      <c r="C56" s="130"/>
      <c r="D56" s="131"/>
      <c r="E56" s="132"/>
      <c r="F56" s="133"/>
      <c r="G56" s="134"/>
      <c r="H56" s="130"/>
      <c r="I56" s="130"/>
      <c r="J56" s="135"/>
      <c r="K56" s="135"/>
      <c r="L56" s="136"/>
      <c r="M56" s="137"/>
      <c r="N56" s="137"/>
      <c r="O56" s="138"/>
      <c r="P56" s="132"/>
      <c r="Q56" s="139"/>
      <c r="R56" s="139"/>
      <c r="S56" s="139"/>
      <c r="T56" s="139"/>
      <c r="U56" s="140"/>
      <c r="V56" s="140"/>
      <c r="W56" s="140"/>
    </row>
    <row r="57" spans="1:18" ht="12.75">
      <c r="A57" s="28"/>
      <c r="B57" s="14"/>
      <c r="C57" s="37" t="s">
        <v>25</v>
      </c>
      <c r="D57" s="38">
        <f>Q59</f>
        <v>17</v>
      </c>
      <c r="E57" s="16"/>
      <c r="F57" s="29"/>
      <c r="G57" s="18"/>
      <c r="H57" s="19"/>
      <c r="I57" s="19"/>
      <c r="J57" s="39" t="s">
        <v>26</v>
      </c>
      <c r="K57" s="40"/>
      <c r="L57" s="21"/>
      <c r="M57" s="22"/>
      <c r="N57" s="22"/>
      <c r="O57" s="41"/>
      <c r="P57" s="23"/>
      <c r="R57" s="12">
        <f>IF($L57="Scheduled",1,"")</f>
      </c>
    </row>
    <row r="58" spans="1:18" ht="12.75">
      <c r="A58" s="28"/>
      <c r="B58" s="14"/>
      <c r="C58" s="37" t="s">
        <v>27</v>
      </c>
      <c r="D58" s="38">
        <f>D59-D57</f>
        <v>12</v>
      </c>
      <c r="E58" s="16"/>
      <c r="F58" s="29"/>
      <c r="G58" s="18"/>
      <c r="H58" s="19"/>
      <c r="I58" s="19"/>
      <c r="J58" s="15" t="s">
        <v>28</v>
      </c>
      <c r="K58" s="42" t="s">
        <v>13</v>
      </c>
      <c r="L58" s="21"/>
      <c r="M58" s="22"/>
      <c r="N58" s="22"/>
      <c r="O58" s="41"/>
      <c r="P58" s="23"/>
      <c r="R58" s="12">
        <f>IF($L58="Scheduled",1,"")</f>
      </c>
    </row>
    <row r="59" spans="1:29" ht="12.75">
      <c r="A59" s="28"/>
      <c r="B59" s="14"/>
      <c r="C59" s="37" t="s">
        <v>29</v>
      </c>
      <c r="D59" s="43">
        <f>COUNT(A7:A153)</f>
        <v>29</v>
      </c>
      <c r="E59" s="16"/>
      <c r="F59" s="29"/>
      <c r="G59" s="18"/>
      <c r="H59" s="19"/>
      <c r="I59" s="19"/>
      <c r="J59" s="44">
        <f>SUM(J7:J56)/2</f>
        <v>28.516666666371748</v>
      </c>
      <c r="K59" s="44">
        <f>SUM(K7:K56)/2</f>
        <v>28.516666666371748</v>
      </c>
      <c r="L59" s="21"/>
      <c r="M59" s="22"/>
      <c r="N59" s="22"/>
      <c r="O59" s="41"/>
      <c r="P59" s="23"/>
      <c r="Q59" s="43">
        <f>SUM(Q1:Q56)</f>
        <v>17</v>
      </c>
      <c r="R59" s="43">
        <f>SUM(R1:R56)</f>
        <v>12</v>
      </c>
      <c r="S59" s="43">
        <f>SUM(S1:S56)</f>
        <v>7</v>
      </c>
      <c r="T59" s="43">
        <f>SUM(T1:T56)</f>
        <v>36</v>
      </c>
      <c r="AA59" s="30"/>
      <c r="AB59" s="30"/>
      <c r="AC59" s="30"/>
    </row>
    <row r="60" spans="1:19" ht="12.75">
      <c r="A60" s="28"/>
      <c r="B60" s="14"/>
      <c r="C60" s="37"/>
      <c r="D60" s="15"/>
      <c r="E60" s="1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  <c r="R60" s="45" t="s">
        <v>21</v>
      </c>
      <c r="S60" s="12" t="s">
        <v>30</v>
      </c>
    </row>
    <row r="61" spans="1:26" ht="12.75">
      <c r="A61" s="28"/>
      <c r="B61" s="14"/>
      <c r="C61" s="37" t="s">
        <v>31</v>
      </c>
      <c r="D61" s="15">
        <f>SUM(D7:D56)/2</f>
        <v>1698.4833333336283</v>
      </c>
      <c r="E61" s="46">
        <f>D61/24</f>
        <v>70.77013888890117</v>
      </c>
      <c r="F61" s="47" t="s">
        <v>32</v>
      </c>
      <c r="G61" s="18"/>
      <c r="H61" s="19"/>
      <c r="I61" s="19"/>
      <c r="J61" s="15"/>
      <c r="K61" s="20"/>
      <c r="L61" s="21"/>
      <c r="M61" s="22"/>
      <c r="N61" s="22"/>
      <c r="O61" s="21"/>
      <c r="P61" s="23"/>
      <c r="Q61" s="12">
        <f>IF($O63="Store Lost",1,"")</f>
      </c>
      <c r="T61" s="48"/>
      <c r="U61" s="30"/>
      <c r="V61" s="30"/>
      <c r="W61" s="30"/>
      <c r="X61" s="30"/>
      <c r="Y61" s="30"/>
      <c r="Z61" s="30"/>
    </row>
    <row r="62" spans="1:17" ht="12.75">
      <c r="A62" s="28"/>
      <c r="B62" s="14"/>
      <c r="C62" s="37" t="s">
        <v>33</v>
      </c>
      <c r="D62" s="15">
        <f>J59</f>
        <v>28.516666666371748</v>
      </c>
      <c r="E62" s="16" t="s">
        <v>34</v>
      </c>
      <c r="F62" s="29"/>
      <c r="G62" s="18"/>
      <c r="H62" s="19"/>
      <c r="I62" s="19"/>
      <c r="J62" s="15"/>
      <c r="K62" s="20"/>
      <c r="L62" s="21"/>
      <c r="M62" s="22"/>
      <c r="N62" s="22"/>
      <c r="O62" s="21"/>
      <c r="P62" s="23"/>
      <c r="Q62" s="12">
        <f>IF($O64="Store Lost",1,"")</f>
      </c>
    </row>
    <row r="63" spans="1:17" ht="12.75">
      <c r="A63" s="28"/>
      <c r="B63" s="14"/>
      <c r="C63" s="37" t="s">
        <v>35</v>
      </c>
      <c r="D63" s="43">
        <f>SUM(D61:D62)</f>
        <v>1727</v>
      </c>
      <c r="E63" s="46"/>
      <c r="F63" s="29"/>
      <c r="G63" s="18"/>
      <c r="H63" s="19"/>
      <c r="I63" s="19"/>
      <c r="J63" s="15"/>
      <c r="K63" s="20"/>
      <c r="L63" s="21"/>
      <c r="M63" s="22"/>
      <c r="N63" s="22"/>
      <c r="O63" s="21"/>
      <c r="P63" s="23"/>
      <c r="Q63" s="12" t="e">
        <f>IF(#REF!="Store Lost",1,"")</f>
        <v>#REF!</v>
      </c>
    </row>
    <row r="64" spans="1:18" ht="12.75">
      <c r="A64" s="28"/>
      <c r="B64" s="14"/>
      <c r="C64" s="37"/>
      <c r="D64" s="49"/>
      <c r="E64" s="50"/>
      <c r="F64" s="29"/>
      <c r="G64" s="18"/>
      <c r="H64" s="15"/>
      <c r="I64" s="19"/>
      <c r="J64" s="15"/>
      <c r="K64" s="20"/>
      <c r="L64" s="21"/>
      <c r="M64" s="22"/>
      <c r="N64" s="22"/>
      <c r="O64" s="21"/>
      <c r="P64" s="23"/>
      <c r="Q64" s="51">
        <f>Q59+R59</f>
        <v>29</v>
      </c>
      <c r="R64" s="12">
        <f>IF($P65="Store Lost",1,"")</f>
      </c>
    </row>
    <row r="65" spans="1:18" ht="12.75">
      <c r="A65" s="28"/>
      <c r="B65" s="14"/>
      <c r="C65" s="37" t="s">
        <v>36</v>
      </c>
      <c r="D65" s="52">
        <f>IF(D57,D61/D57,D61)</f>
        <v>99.91078431374284</v>
      </c>
      <c r="E65" s="16"/>
      <c r="F65" s="29"/>
      <c r="G65" s="18"/>
      <c r="J65" s="7"/>
      <c r="K65" s="53"/>
      <c r="Q65" s="23"/>
      <c r="R65" s="12">
        <f>IF($P67="Store Lost",1,"")</f>
      </c>
    </row>
    <row r="66" spans="1:18" ht="12.75">
      <c r="A66" s="28"/>
      <c r="B66" s="14"/>
      <c r="C66" s="37" t="s">
        <v>37</v>
      </c>
      <c r="D66" s="49">
        <f>IF(D57,24/D65,0)</f>
        <v>0.24021430884412318</v>
      </c>
      <c r="E66" s="54"/>
      <c r="F66" s="55"/>
      <c r="G66" s="56"/>
      <c r="K66" s="53"/>
      <c r="Q66" s="23"/>
      <c r="R66" s="12" t="e">
        <f>NA()</f>
        <v>#N/A</v>
      </c>
    </row>
    <row r="67" spans="1:18" ht="12.75">
      <c r="A67" s="28"/>
      <c r="B67" s="14"/>
      <c r="C67" s="37" t="s">
        <v>38</v>
      </c>
      <c r="D67" s="142">
        <f>D61/D63</f>
        <v>0.9834877436789973</v>
      </c>
      <c r="E67" s="57"/>
      <c r="F67" s="29"/>
      <c r="G67" s="18"/>
      <c r="K67" s="53"/>
      <c r="Q67" s="23"/>
      <c r="R67" s="12" t="e">
        <f>NA()</f>
        <v>#N/A</v>
      </c>
    </row>
    <row r="68" spans="1:29" s="58" customFormat="1" ht="12.75">
      <c r="A68" s="28"/>
      <c r="B68" s="14"/>
      <c r="C68" s="14"/>
      <c r="D68" s="15"/>
      <c r="E68" s="16"/>
      <c r="F68" s="29"/>
      <c r="G68" s="18"/>
      <c r="H68" s="7"/>
      <c r="I68" s="7"/>
      <c r="J68" s="3"/>
      <c r="K68" s="53"/>
      <c r="L68" s="9"/>
      <c r="M68" s="10"/>
      <c r="N68" s="10"/>
      <c r="O68" s="9"/>
      <c r="P68" s="11"/>
      <c r="Q68" s="23"/>
      <c r="R68" s="12">
        <f aca="true" t="shared" si="6" ref="R68:R76">IF($P70="Store Lost",1,"")</f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t="shared" si="6"/>
      </c>
    </row>
    <row r="70" spans="1:18" ht="12.75">
      <c r="A70" s="28"/>
      <c r="B70" s="14"/>
      <c r="C70" s="14"/>
      <c r="D70" s="15"/>
      <c r="E70" s="16"/>
      <c r="F70" s="29"/>
      <c r="G70" s="18"/>
      <c r="K70" s="53"/>
      <c r="Q70" s="23"/>
      <c r="R70" s="12">
        <f t="shared" si="6"/>
      </c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t="shared" si="6"/>
      </c>
    </row>
    <row r="72" spans="1:18" ht="12.75">
      <c r="A72" s="28"/>
      <c r="B72" s="14"/>
      <c r="C72" s="14"/>
      <c r="D72" s="15"/>
      <c r="E72" s="16"/>
      <c r="F72" s="29"/>
      <c r="G72" s="18"/>
      <c r="K72" s="53"/>
      <c r="Q72" s="23"/>
      <c r="R72" s="12">
        <f t="shared" si="6"/>
      </c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6"/>
      </c>
    </row>
    <row r="74" spans="1:18" ht="12.75">
      <c r="A74" s="28"/>
      <c r="B74" s="14"/>
      <c r="C74" s="14"/>
      <c r="D74" s="15"/>
      <c r="E74" s="16"/>
      <c r="F74" s="29"/>
      <c r="G74" s="18"/>
      <c r="K74" s="53"/>
      <c r="Q74" s="23"/>
      <c r="R74" s="12">
        <f t="shared" si="6"/>
      </c>
    </row>
    <row r="75" spans="1:18" ht="12.75">
      <c r="A75" s="28"/>
      <c r="B75" s="14"/>
      <c r="C75" s="14"/>
      <c r="D75" s="15"/>
      <c r="E75" s="16"/>
      <c r="F75" s="29"/>
      <c r="G75" s="18"/>
      <c r="K75" s="53"/>
      <c r="Q75" s="23"/>
      <c r="R75" s="12">
        <f t="shared" si="6"/>
      </c>
    </row>
    <row r="76" spans="1:18" ht="12.75">
      <c r="A76" s="28"/>
      <c r="B76" s="14"/>
      <c r="C76" s="14"/>
      <c r="D76" s="15"/>
      <c r="E76" s="16"/>
      <c r="F76" s="29"/>
      <c r="G76" s="18"/>
      <c r="K76" s="53"/>
      <c r="Q76" s="23"/>
      <c r="R76" s="12">
        <f t="shared" si="6"/>
      </c>
    </row>
    <row r="77" spans="1:29" s="59" customFormat="1" ht="12.75">
      <c r="A77" s="28"/>
      <c r="B77" s="14"/>
      <c r="C77" s="14"/>
      <c r="D77" s="15"/>
      <c r="E77" s="16"/>
      <c r="F77" s="29"/>
      <c r="G77" s="18"/>
      <c r="H77" s="7"/>
      <c r="I77" s="7"/>
      <c r="J77" s="3"/>
      <c r="K77" s="53"/>
      <c r="L77" s="9"/>
      <c r="M77" s="10"/>
      <c r="N77" s="10"/>
      <c r="O77" s="9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30" customFormat="1" ht="12.75">
      <c r="A78" s="28"/>
      <c r="B78" s="14"/>
      <c r="C78" s="14"/>
      <c r="D78" s="15"/>
      <c r="E78" s="16"/>
      <c r="F78" s="29"/>
      <c r="G78" s="18"/>
      <c r="H78" s="7"/>
      <c r="I78" s="7"/>
      <c r="J78" s="3"/>
      <c r="K78" s="53"/>
      <c r="L78" s="9"/>
      <c r="M78" s="10"/>
      <c r="N78" s="10"/>
      <c r="O78" s="9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58"/>
      <c r="AB78" s="58"/>
      <c r="AC78" s="58"/>
    </row>
    <row r="79" spans="1:16" ht="12.75">
      <c r="A79" s="28"/>
      <c r="B79" s="14"/>
      <c r="C79" s="14"/>
      <c r="D79" s="15"/>
      <c r="E79" s="16"/>
      <c r="F79" s="29"/>
      <c r="G79" s="18"/>
      <c r="H79" s="19"/>
      <c r="I79" s="19"/>
      <c r="J79" s="15"/>
      <c r="K79" s="20"/>
      <c r="L79" s="21"/>
      <c r="M79" s="22"/>
      <c r="N79" s="22"/>
      <c r="O79" s="21"/>
      <c r="P79" s="23"/>
    </row>
    <row r="80" spans="1:26" ht="12.75">
      <c r="A80" s="28"/>
      <c r="B80" s="14"/>
      <c r="C80" s="14"/>
      <c r="E80" s="16"/>
      <c r="F80" s="29"/>
      <c r="G80" s="18"/>
      <c r="H80" s="19"/>
      <c r="I80" s="19"/>
      <c r="L80" s="21"/>
      <c r="M80" s="22"/>
      <c r="N80" s="22"/>
      <c r="O80" s="21"/>
      <c r="P80" s="23"/>
      <c r="U80" s="58"/>
      <c r="V80" s="58"/>
      <c r="W80" s="58"/>
      <c r="X80" s="58"/>
      <c r="Y80" s="58"/>
      <c r="Z80" s="58"/>
    </row>
    <row r="81" spans="1:16" ht="12.75">
      <c r="A81" s="28"/>
      <c r="B81" s="14"/>
      <c r="C81" s="14"/>
      <c r="E81" s="16"/>
      <c r="F81" s="29"/>
      <c r="G81" s="18"/>
      <c r="H81" s="19"/>
      <c r="I81" s="19"/>
      <c r="L81" s="21"/>
      <c r="M81" s="22"/>
      <c r="N81" s="22"/>
      <c r="O81" s="21"/>
      <c r="P81" s="23"/>
    </row>
    <row r="82" spans="1:16" ht="12.75">
      <c r="A82" s="28"/>
      <c r="B82" s="14"/>
      <c r="C82" s="14"/>
      <c r="E82" s="16"/>
      <c r="F82" s="29"/>
      <c r="G82" s="18"/>
      <c r="H82" s="19"/>
      <c r="I82" s="19"/>
      <c r="L82" s="21"/>
      <c r="M82" s="22"/>
      <c r="N82" s="22"/>
      <c r="O82" s="21"/>
      <c r="P82" s="23"/>
    </row>
    <row r="83" spans="1:16" ht="12.75">
      <c r="A83" s="28"/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</row>
    <row r="84" spans="1:20" ht="12.75">
      <c r="A84" s="28"/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R84" s="58"/>
      <c r="S84" s="58"/>
      <c r="T84" s="58"/>
    </row>
    <row r="85" spans="2:16" ht="12.75">
      <c r="B85" s="14"/>
      <c r="C85" s="14"/>
      <c r="F85" s="29"/>
      <c r="G85" s="18"/>
      <c r="H85" s="19"/>
      <c r="I85" s="19"/>
      <c r="L85" s="21"/>
      <c r="M85" s="22"/>
      <c r="N85" s="22"/>
      <c r="O85" s="21"/>
      <c r="P85" s="23"/>
    </row>
    <row r="86" spans="2:17" ht="12.75">
      <c r="B86" s="14"/>
      <c r="C86" s="14"/>
      <c r="F86" s="29"/>
      <c r="G86" s="18"/>
      <c r="H86" s="19"/>
      <c r="I86" s="19"/>
      <c r="L86" s="21"/>
      <c r="M86" s="22"/>
      <c r="N86" s="22"/>
      <c r="O86" s="21"/>
      <c r="P86" s="23"/>
      <c r="Q86" s="12">
        <f aca="true" t="shared" si="7" ref="Q86:Q117">IF($O88="Store Lost",1,"")</f>
      </c>
    </row>
    <row r="87" spans="2:29" ht="12.75">
      <c r="B87" s="14"/>
      <c r="C87" s="14"/>
      <c r="F87" s="29"/>
      <c r="G87" s="18"/>
      <c r="H87" s="19"/>
      <c r="I87" s="19"/>
      <c r="L87" s="21"/>
      <c r="M87" s="22"/>
      <c r="N87" s="22"/>
      <c r="O87" s="21"/>
      <c r="P87" s="23"/>
      <c r="Q87" s="12">
        <f t="shared" si="7"/>
      </c>
      <c r="AA87" s="59"/>
      <c r="AB87" s="59"/>
      <c r="AC87" s="59"/>
    </row>
    <row r="88" spans="2:29" ht="12.75">
      <c r="B88" s="14"/>
      <c r="C88" s="14"/>
      <c r="Q88" s="12">
        <f t="shared" si="7"/>
      </c>
      <c r="AA88" s="30"/>
      <c r="AB88" s="30"/>
      <c r="AC88" s="30"/>
    </row>
    <row r="89" spans="17:26" ht="12.75">
      <c r="Q89" s="12">
        <f t="shared" si="7"/>
      </c>
      <c r="U89" s="59"/>
      <c r="V89" s="59"/>
      <c r="W89" s="59"/>
      <c r="X89" s="59"/>
      <c r="Y89" s="59"/>
      <c r="Z89" s="59"/>
    </row>
    <row r="90" spans="17:26" ht="12.75">
      <c r="Q90" s="12">
        <f t="shared" si="7"/>
      </c>
      <c r="U90" s="30"/>
      <c r="V90" s="30"/>
      <c r="W90" s="30"/>
      <c r="X90" s="30"/>
      <c r="Y90" s="30"/>
      <c r="Z90" s="30"/>
    </row>
    <row r="91" spans="1:29" s="58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7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ht="12.75">
      <c r="Q92" s="12">
        <f t="shared" si="7"/>
      </c>
    </row>
    <row r="93" spans="17:20" ht="12.75">
      <c r="Q93" s="12">
        <f t="shared" si="7"/>
      </c>
      <c r="R93" s="59"/>
      <c r="S93" s="59"/>
      <c r="T93" s="59"/>
    </row>
    <row r="94" spans="17:20" ht="12.75">
      <c r="Q94" s="12">
        <f t="shared" si="7"/>
      </c>
      <c r="R94" s="30"/>
      <c r="S94" s="30"/>
      <c r="T94" s="30"/>
    </row>
    <row r="95" ht="12.75">
      <c r="Q95" s="12">
        <f t="shared" si="7"/>
      </c>
    </row>
    <row r="96" ht="12.75">
      <c r="Q96" s="12">
        <f t="shared" si="7"/>
      </c>
    </row>
    <row r="97" ht="12.75">
      <c r="Q97" s="12">
        <f t="shared" si="7"/>
      </c>
    </row>
    <row r="98" ht="12.75">
      <c r="Q98" s="12">
        <f t="shared" si="7"/>
      </c>
    </row>
    <row r="99" ht="12.75">
      <c r="Q99" s="12">
        <f t="shared" si="7"/>
      </c>
    </row>
    <row r="100" ht="12.75">
      <c r="Q100" s="12">
        <f t="shared" si="7"/>
      </c>
    </row>
    <row r="101" spans="17:29" ht="12.75">
      <c r="Q101" s="12">
        <f t="shared" si="7"/>
      </c>
      <c r="AA101" s="58"/>
      <c r="AB101" s="58"/>
      <c r="AC101" s="58"/>
    </row>
    <row r="102" ht="12.75">
      <c r="Q102" s="12">
        <f t="shared" si="7"/>
      </c>
    </row>
    <row r="103" spans="17:26" ht="12.75">
      <c r="Q103" s="12">
        <f t="shared" si="7"/>
      </c>
      <c r="U103" s="58"/>
      <c r="V103" s="58"/>
      <c r="W103" s="58"/>
      <c r="X103" s="58"/>
      <c r="Y103" s="58"/>
      <c r="Z103" s="58"/>
    </row>
    <row r="104" spans="1:29" s="58" customFormat="1" ht="12.75">
      <c r="A104" s="1"/>
      <c r="B104" s="2"/>
      <c r="C104" s="2"/>
      <c r="D104" s="3"/>
      <c r="E104" s="4"/>
      <c r="F104" s="5"/>
      <c r="G104" s="6"/>
      <c r="H104" s="7"/>
      <c r="I104" s="7"/>
      <c r="J104" s="3"/>
      <c r="K104" s="8"/>
      <c r="L104" s="9"/>
      <c r="M104" s="10"/>
      <c r="N104" s="10"/>
      <c r="O104" s="9"/>
      <c r="P104" s="11"/>
      <c r="Q104" s="12">
        <f t="shared" si="7"/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30" customFormat="1" ht="12.75">
      <c r="A105" s="1"/>
      <c r="B105" s="2"/>
      <c r="C105" s="2"/>
      <c r="D105" s="3"/>
      <c r="E105" s="4"/>
      <c r="F105" s="5"/>
      <c r="G105" s="6"/>
      <c r="H105" s="7"/>
      <c r="I105" s="7"/>
      <c r="J105" s="3"/>
      <c r="K105" s="8"/>
      <c r="L105" s="9"/>
      <c r="M105" s="10"/>
      <c r="N105" s="10"/>
      <c r="O105" s="9"/>
      <c r="P105" s="11"/>
      <c r="Q105" s="12">
        <f t="shared" si="7"/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58" customFormat="1" ht="12.75">
      <c r="A106" s="1"/>
      <c r="B106" s="2"/>
      <c r="C106" s="2"/>
      <c r="D106" s="3"/>
      <c r="E106" s="4"/>
      <c r="F106" s="5"/>
      <c r="G106" s="6"/>
      <c r="H106" s="7"/>
      <c r="I106" s="7"/>
      <c r="J106" s="3"/>
      <c r="K106" s="8"/>
      <c r="L106" s="9"/>
      <c r="M106" s="10"/>
      <c r="N106" s="10"/>
      <c r="O106" s="9"/>
      <c r="P106" s="11"/>
      <c r="Q106" s="12">
        <f t="shared" si="7"/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7:20" ht="12.75">
      <c r="Q107" s="12">
        <f t="shared" si="7"/>
      </c>
      <c r="R107" s="58"/>
      <c r="S107" s="58"/>
      <c r="T107" s="58"/>
    </row>
    <row r="108" ht="12.75">
      <c r="Q108" s="12">
        <f t="shared" si="7"/>
      </c>
    </row>
    <row r="109" ht="12.75">
      <c r="Q109" s="12">
        <f t="shared" si="7"/>
      </c>
    </row>
    <row r="110" ht="12.75">
      <c r="Q110" s="12">
        <f t="shared" si="7"/>
      </c>
    </row>
    <row r="111" ht="12.75">
      <c r="Q111" s="12">
        <f t="shared" si="7"/>
      </c>
    </row>
    <row r="112" ht="12.75">
      <c r="Q112" s="12">
        <f t="shared" si="7"/>
      </c>
    </row>
    <row r="113" ht="12.75">
      <c r="Q113" s="12">
        <f t="shared" si="7"/>
      </c>
    </row>
    <row r="114" spans="17:29" ht="12.75">
      <c r="Q114" s="12">
        <f t="shared" si="7"/>
      </c>
      <c r="AA114" s="58"/>
      <c r="AB114" s="58"/>
      <c r="AC114" s="58"/>
    </row>
    <row r="115" spans="17:29" ht="12.75">
      <c r="Q115" s="12">
        <f t="shared" si="7"/>
      </c>
      <c r="AA115" s="30"/>
      <c r="AB115" s="30"/>
      <c r="AC115" s="30"/>
    </row>
    <row r="116" spans="17:29" ht="12.75">
      <c r="Q116" s="12">
        <f t="shared" si="7"/>
      </c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7:26" ht="12.75">
      <c r="Q117" s="12">
        <f t="shared" si="7"/>
      </c>
      <c r="U117" s="30"/>
      <c r="V117" s="30"/>
      <c r="W117" s="30"/>
      <c r="X117" s="30"/>
      <c r="Y117" s="30"/>
      <c r="Z117" s="30"/>
    </row>
    <row r="118" spans="17:26" ht="12.75">
      <c r="Q118" s="12">
        <f aca="true" t="shared" si="8" ref="Q118:Q143">IF($O120="Store Lost",1,"")</f>
      </c>
      <c r="U118" s="58"/>
      <c r="V118" s="58"/>
      <c r="W118" s="58"/>
      <c r="X118" s="58"/>
      <c r="Y118" s="58"/>
      <c r="Z118" s="58"/>
    </row>
    <row r="119" ht="12.75">
      <c r="Q119" s="12">
        <f t="shared" si="8"/>
      </c>
    </row>
    <row r="120" spans="17:20" ht="12.75">
      <c r="Q120" s="12">
        <f t="shared" si="8"/>
      </c>
      <c r="R120" s="58"/>
      <c r="S120" s="58"/>
      <c r="T120" s="58"/>
    </row>
    <row r="121" spans="17:20" ht="12.75">
      <c r="Q121" s="12">
        <f t="shared" si="8"/>
      </c>
      <c r="R121" s="30"/>
      <c r="S121" s="30"/>
      <c r="T121" s="30"/>
    </row>
    <row r="122" spans="17:20" ht="12.75">
      <c r="Q122" s="12">
        <f t="shared" si="8"/>
      </c>
      <c r="R122" s="58"/>
      <c r="S122" s="58"/>
      <c r="T122" s="58"/>
    </row>
    <row r="123" ht="12.75">
      <c r="Q123" s="12">
        <f t="shared" si="8"/>
      </c>
    </row>
    <row r="124" ht="12.75">
      <c r="Q124" s="12">
        <f t="shared" si="8"/>
      </c>
    </row>
    <row r="125" ht="12.75">
      <c r="Q125" s="12">
        <f t="shared" si="8"/>
      </c>
    </row>
    <row r="126" ht="12.75">
      <c r="Q126" s="12">
        <f t="shared" si="8"/>
      </c>
    </row>
    <row r="127" spans="1:29" s="58" customFormat="1" ht="12.75">
      <c r="A127" s="1"/>
      <c r="B127" s="2"/>
      <c r="C127" s="2"/>
      <c r="D127" s="3"/>
      <c r="E127" s="4"/>
      <c r="F127" s="5"/>
      <c r="G127" s="6"/>
      <c r="H127" s="7"/>
      <c r="I127" s="7"/>
      <c r="J127" s="3"/>
      <c r="K127" s="8"/>
      <c r="L127" s="9"/>
      <c r="M127" s="10"/>
      <c r="N127" s="10"/>
      <c r="O127" s="9"/>
      <c r="P127" s="11"/>
      <c r="Q127" s="12">
        <f t="shared" si="8"/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ht="12.75">
      <c r="Q128" s="12">
        <f t="shared" si="8"/>
      </c>
    </row>
    <row r="129" ht="12.75">
      <c r="Q129" s="12">
        <f t="shared" si="8"/>
      </c>
    </row>
    <row r="130" ht="12.75">
      <c r="Q130" s="12">
        <f t="shared" si="8"/>
      </c>
    </row>
    <row r="131" ht="12.75">
      <c r="Q131" s="12">
        <f t="shared" si="8"/>
      </c>
    </row>
    <row r="132" ht="12.75">
      <c r="Q132" s="12">
        <f t="shared" si="8"/>
      </c>
    </row>
    <row r="133" ht="12.75">
      <c r="Q133" s="12">
        <f t="shared" si="8"/>
      </c>
    </row>
    <row r="134" ht="12.75">
      <c r="Q134" s="12">
        <f t="shared" si="8"/>
      </c>
    </row>
    <row r="135" ht="12.75">
      <c r="Q135" s="12">
        <f t="shared" si="8"/>
      </c>
    </row>
    <row r="136" ht="12.75">
      <c r="Q136" s="12">
        <f t="shared" si="8"/>
      </c>
    </row>
    <row r="137" spans="17:29" ht="12.75">
      <c r="Q137" s="12">
        <f t="shared" si="8"/>
      </c>
      <c r="AA137" s="58"/>
      <c r="AB137" s="58"/>
      <c r="AC137" s="58"/>
    </row>
    <row r="138" ht="12.75">
      <c r="Q138" s="12">
        <f t="shared" si="8"/>
      </c>
    </row>
    <row r="139" spans="17:26" ht="12.75">
      <c r="Q139" s="12">
        <f t="shared" si="8"/>
      </c>
      <c r="U139" s="58"/>
      <c r="V139" s="58"/>
      <c r="W139" s="58"/>
      <c r="X139" s="58"/>
      <c r="Y139" s="58"/>
      <c r="Z139" s="58"/>
    </row>
    <row r="140" ht="12.75">
      <c r="Q140" s="12">
        <f t="shared" si="8"/>
      </c>
    </row>
    <row r="141" ht="12.75">
      <c r="Q141" s="12">
        <f t="shared" si="8"/>
      </c>
    </row>
    <row r="142" ht="12.75">
      <c r="Q142" s="12">
        <f t="shared" si="8"/>
      </c>
    </row>
    <row r="143" spans="17:20" ht="12.75">
      <c r="Q143" s="12">
        <f t="shared" si="8"/>
      </c>
      <c r="R143" s="58"/>
      <c r="S143" s="58"/>
      <c r="T143" s="58"/>
    </row>
    <row r="147" ht="12.75">
      <c r="Q147" s="12">
        <f>COUNT(Q7:Q143)</f>
        <v>19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21.140625" style="0" customWidth="1"/>
    <col min="2" max="11" width="12.00390625" style="0" customWidth="1"/>
    <col min="12" max="12" width="10.574218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2" ht="12.75">
      <c r="A3" s="82"/>
      <c r="B3" s="90" t="s">
        <v>14</v>
      </c>
      <c r="C3" s="89"/>
      <c r="D3" s="89"/>
      <c r="E3" s="89"/>
      <c r="F3" s="89"/>
      <c r="G3" s="89"/>
      <c r="H3" s="89"/>
      <c r="I3" s="89"/>
      <c r="J3" s="89"/>
      <c r="K3" s="89"/>
      <c r="L3" s="91"/>
    </row>
    <row r="4" spans="1:12" ht="12.75">
      <c r="A4" s="90" t="s">
        <v>39</v>
      </c>
      <c r="B4" s="82" t="s">
        <v>22</v>
      </c>
      <c r="C4" s="92" t="s">
        <v>23</v>
      </c>
      <c r="D4" s="92" t="s">
        <v>70</v>
      </c>
      <c r="E4" s="92" t="s">
        <v>24</v>
      </c>
      <c r="F4" s="92" t="s">
        <v>90</v>
      </c>
      <c r="G4" s="92" t="s">
        <v>66</v>
      </c>
      <c r="H4" s="92" t="s">
        <v>79</v>
      </c>
      <c r="I4" s="92" t="s">
        <v>84</v>
      </c>
      <c r="J4" s="92" t="s">
        <v>86</v>
      </c>
      <c r="K4" s="92" t="s">
        <v>67</v>
      </c>
      <c r="L4" s="93" t="s">
        <v>59</v>
      </c>
    </row>
    <row r="5" spans="1:12" ht="12.75">
      <c r="A5" s="82" t="s">
        <v>40</v>
      </c>
      <c r="B5" s="94">
        <v>2</v>
      </c>
      <c r="C5" s="95">
        <v>2</v>
      </c>
      <c r="D5" s="95">
        <v>1</v>
      </c>
      <c r="E5" s="95">
        <v>0</v>
      </c>
      <c r="F5" s="95">
        <v>0</v>
      </c>
      <c r="G5" s="95">
        <v>1</v>
      </c>
      <c r="H5" s="95">
        <v>0</v>
      </c>
      <c r="I5" s="95">
        <v>0</v>
      </c>
      <c r="J5" s="95">
        <v>1</v>
      </c>
      <c r="K5" s="95">
        <v>0</v>
      </c>
      <c r="L5" s="96">
        <v>7</v>
      </c>
    </row>
    <row r="6" spans="1:12" ht="12.75">
      <c r="A6" s="98" t="s">
        <v>41</v>
      </c>
      <c r="B6" s="99">
        <v>4</v>
      </c>
      <c r="C6" s="73">
        <v>2</v>
      </c>
      <c r="D6" s="73">
        <v>1</v>
      </c>
      <c r="E6" s="73">
        <v>2</v>
      </c>
      <c r="F6" s="73">
        <v>1</v>
      </c>
      <c r="G6" s="73">
        <v>3</v>
      </c>
      <c r="H6" s="73">
        <v>2</v>
      </c>
      <c r="I6" s="73">
        <v>1</v>
      </c>
      <c r="J6" s="73">
        <v>0</v>
      </c>
      <c r="K6" s="73">
        <v>1</v>
      </c>
      <c r="L6" s="100">
        <v>17</v>
      </c>
    </row>
    <row r="7" spans="1:12" ht="12.75">
      <c r="A7" s="105" t="s">
        <v>65</v>
      </c>
      <c r="B7" s="189">
        <v>13.716666666325182</v>
      </c>
      <c r="C7" s="190">
        <v>1.866666666814126</v>
      </c>
      <c r="D7" s="128">
        <v>2.9333333332906477</v>
      </c>
      <c r="E7" s="128">
        <v>0.8499999999767169</v>
      </c>
      <c r="F7" s="128">
        <v>1.1500000000814907</v>
      </c>
      <c r="G7" s="128">
        <v>4.899999999906868</v>
      </c>
      <c r="H7" s="128">
        <v>1.1500000000814907</v>
      </c>
      <c r="I7" s="128">
        <v>0.7833333334419876</v>
      </c>
      <c r="J7" s="128">
        <v>0.4999999998835847</v>
      </c>
      <c r="K7" s="128">
        <v>0.6666666665696539</v>
      </c>
      <c r="L7" s="106">
        <v>28.516666666371748</v>
      </c>
    </row>
    <row r="13" spans="2:20" ht="12.75">
      <c r="B13" s="60" t="s">
        <v>23</v>
      </c>
      <c r="C13" s="61" t="s">
        <v>44</v>
      </c>
      <c r="D13" s="61" t="s">
        <v>22</v>
      </c>
      <c r="E13" s="61" t="s">
        <v>45</v>
      </c>
      <c r="F13" s="61" t="s">
        <v>46</v>
      </c>
      <c r="G13" s="61" t="s">
        <v>47</v>
      </c>
      <c r="H13" s="61" t="s">
        <v>48</v>
      </c>
      <c r="I13" s="61" t="s">
        <v>49</v>
      </c>
      <c r="J13" s="61" t="s">
        <v>50</v>
      </c>
      <c r="K13" s="61" t="s">
        <v>51</v>
      </c>
      <c r="L13" s="61" t="s">
        <v>52</v>
      </c>
      <c r="M13" s="61" t="s">
        <v>53</v>
      </c>
      <c r="N13" s="61" t="s">
        <v>54</v>
      </c>
      <c r="O13" s="61" t="s">
        <v>55</v>
      </c>
      <c r="P13" s="61" t="s">
        <v>56</v>
      </c>
      <c r="Q13" s="62" t="s">
        <v>57</v>
      </c>
      <c r="R13" s="63" t="s">
        <v>58</v>
      </c>
      <c r="S13" s="63" t="s">
        <v>59</v>
      </c>
      <c r="T13" s="64" t="s">
        <v>60</v>
      </c>
    </row>
    <row r="14" spans="1:20" s="68" customFormat="1" ht="12.75">
      <c r="A14" s="143" t="s">
        <v>81</v>
      </c>
      <c r="B14" s="66">
        <f>IF(B16,SUM(B16/B25),"")</f>
        <v>0.001080872418537421</v>
      </c>
      <c r="C14" s="66">
        <f>IF(C16,SUM(C16/B25),"")</f>
        <v>0.0016985138003999117</v>
      </c>
      <c r="D14" s="66">
        <f>IF(D16,SUM(D16/B25),"")</f>
        <v>0.007942482146106069</v>
      </c>
      <c r="E14" s="66">
        <f>IF(E16,SUM(E16/B25),"")</f>
        <v>0.0002895193977322436</v>
      </c>
      <c r="F14" s="66">
        <f>IF(F16,SUM(F16/B25),"")</f>
        <v>0.0006658946149863872</v>
      </c>
      <c r="G14" s="66">
        <f>IF(G16,SUM(G16/B25),0)</f>
        <v>0.0006658946149863872</v>
      </c>
      <c r="H14" s="66">
        <f>IF(H16,SUM(H16/B25),"")</f>
      </c>
      <c r="I14" s="66">
        <f>IF(I16,SUM(I16/B25),"")</f>
        <v>0.0004921829762459276</v>
      </c>
      <c r="J14" s="66">
        <f>IF(J16,SUM(J16/B25),"")</f>
        <v>0.002837290098382668</v>
      </c>
      <c r="K14" s="66">
        <f>IF(K16,SUM(K16/B25),"")</f>
      </c>
      <c r="L14" s="66">
        <f>IF(L16,SUM(L16/B25),"")</f>
      </c>
      <c r="M14" s="66">
        <f>IF(M16,SUM(M16/B25),"")</f>
      </c>
      <c r="N14" s="66">
        <f>IF(N16,SUM(N16/B25),"")</f>
        <v>0.00045358038994903745</v>
      </c>
      <c r="O14" s="66">
        <f>IF(O16,SUM(O16/B25),"")</f>
      </c>
      <c r="P14" s="66">
        <f>IF(M16,SUM(M16/B25),"")</f>
      </c>
      <c r="Q14" s="66">
        <f>IF(Q16,SUM(Q16/B25),"")</f>
      </c>
      <c r="R14" s="66">
        <f>IF(R16,SUM(R16/B25),"")</f>
        <v>0.00038602586367669593</v>
      </c>
      <c r="S14" s="66">
        <f>IF(S16,SUM(S16/B25),"")</f>
        <v>0.016512256321002748</v>
      </c>
      <c r="T14" s="67">
        <f>IF(T16,SUM(T16/M13),"")</f>
      </c>
    </row>
    <row r="15" spans="1:20" ht="12.75">
      <c r="A15" s="65" t="s">
        <v>61</v>
      </c>
      <c r="B15" s="69">
        <f>'[1]reliabilitySummary'!$B$7</f>
        <v>0.0054</v>
      </c>
      <c r="C15" s="69">
        <f>'[1]reliabilitySummary'!$B$8</f>
        <v>0.0012000000000000001</v>
      </c>
      <c r="D15" s="69">
        <f>'[1]reliabilitySummary'!$B$9</f>
        <v>0.0054</v>
      </c>
      <c r="E15" s="69">
        <f>'[1]reliabilitySummary'!$B$10</f>
        <v>0.003</v>
      </c>
      <c r="F15" s="69">
        <v>0.0028</v>
      </c>
      <c r="G15" s="69">
        <v>0.0028</v>
      </c>
      <c r="H15" s="69">
        <v>0.0028</v>
      </c>
      <c r="I15" s="69">
        <f>'[1]reliabilitySummary'!$B$16</f>
        <v>0.0036000000000000003</v>
      </c>
      <c r="J15" s="69">
        <f>'[1]reliabilitySummary'!$B$18</f>
        <v>0.0012000000000000001</v>
      </c>
      <c r="K15" s="69">
        <f>'[1]reliabilitySummary'!$B$19</f>
        <v>0</v>
      </c>
      <c r="L15" s="69">
        <f>'[1]reliabilitySummary'!$B$20</f>
        <v>0.0006000000000000001</v>
      </c>
      <c r="M15" s="69">
        <f>'[1]reliabilitySummary'!$B$24</f>
        <v>0.0006000000000000001</v>
      </c>
      <c r="N15" s="69">
        <f>'[1]reliabilitySummary'!$B$25</f>
        <v>0.0018000000000000002</v>
      </c>
      <c r="O15" s="69">
        <f>'[1]reliabilitySummary'!$B$26</f>
        <v>0.0006000000000000001</v>
      </c>
      <c r="P15" s="69">
        <f>'[1]reliabilitySummary'!$B$27</f>
        <v>0.0018000000000000002</v>
      </c>
      <c r="Q15" s="69">
        <f>'[1]reliabilitySummary'!$B$11</f>
        <v>0.0012000000000000001</v>
      </c>
      <c r="R15" s="69">
        <f>'[1]reliabilitySummary'!$B$28</f>
        <v>0.0006000000000000001</v>
      </c>
      <c r="S15" s="69">
        <v>0.03</v>
      </c>
      <c r="T15" s="70"/>
    </row>
    <row r="16" spans="1:20" s="68" customFormat="1" ht="12.75">
      <c r="A16" s="65" t="s">
        <v>62</v>
      </c>
      <c r="B16" s="67">
        <f>GETPIVOTDATA("Sum of System
Length",$A$3,"Group","Rf")</f>
        <v>1.866666666814126</v>
      </c>
      <c r="C16" s="67">
        <f>GETPIVOTDATA("Sum of System
Length",$A$3,"Group","DIA")</f>
        <v>2.9333333332906477</v>
      </c>
      <c r="D16" s="67">
        <f>GETPIVOTDATA("Sum of System
Length",$A$3,"Group","PS")</f>
        <v>13.716666666325182</v>
      </c>
      <c r="E16" s="67">
        <f>GETPIVOTDATA("Sum of System
Length",$A$3,"Group","CTL")</f>
        <v>0.4999999998835847</v>
      </c>
      <c r="F16" s="67">
        <f>GETPIVOTDATA("Sum of System
Length",$A$3,"Group","SI")</f>
        <v>1.1500000000814907</v>
      </c>
      <c r="G16" s="67">
        <f>GETPIVOTDATA("Sum of System
Length",$A$3,"Group","BL")</f>
        <v>1.1500000000814907</v>
      </c>
      <c r="H16" s="67"/>
      <c r="I16" s="67">
        <f>GETPIVOTDATA("Sum of System
Length",$A$3,"Group","MOM")</f>
        <v>0.8499999999767169</v>
      </c>
      <c r="J16" s="67">
        <f>GETPIVOTDATA("Sum of System
Length",$A$3,"Group","AOP")</f>
        <v>4.899999999906868</v>
      </c>
      <c r="K16" s="67"/>
      <c r="L16" s="67"/>
      <c r="M16" s="67"/>
      <c r="N16" s="67">
        <f>GETPIVOTDATA("Sum of System
Length",$A$3,"Group","Comed")</f>
        <v>0.7833333334419876</v>
      </c>
      <c r="O16" s="67"/>
      <c r="Q16" s="67"/>
      <c r="R16" s="67">
        <f>GETPIVOTDATA("Sum of System
Length",$A$3,"Group","UNK")</f>
        <v>0.6666666665696539</v>
      </c>
      <c r="S16" s="71">
        <f>'Main Data'!J59</f>
        <v>28.516666666371748</v>
      </c>
      <c r="T16" s="72"/>
    </row>
    <row r="17" spans="1:19" ht="12.75">
      <c r="A17" s="74" t="s">
        <v>63</v>
      </c>
      <c r="B17">
        <f>GETPIVOTDATA("Sum - Store Lost",$A$3,"Group","Rf")</f>
        <v>2</v>
      </c>
      <c r="C17">
        <f>GETPIVOTDATA("Sum - Store Lost",$A$3,"Group","DIA")</f>
        <v>1</v>
      </c>
      <c r="D17">
        <f>GETPIVOTDATA("Sum - Store Lost",$A$3,"Group","PS")</f>
        <v>4</v>
      </c>
      <c r="E17">
        <f>GETPIVOTDATA("Sum - Store Lost",$A$3,"Group","CTL")</f>
        <v>0</v>
      </c>
      <c r="F17">
        <f>GETPIVOTDATA("Sum - Store Lost",$A$3,"Group","SI")</f>
        <v>2</v>
      </c>
      <c r="G17">
        <f>GETPIVOTDATA("Sum - Store Lost",$A$3,"Group","BL")</f>
        <v>1</v>
      </c>
      <c r="I17">
        <f>GETPIVOTDATA("Sum - Store Lost",$A$3,"Group","MOM")</f>
        <v>2</v>
      </c>
      <c r="J17">
        <f>GETPIVOTDATA("Sum - Store Lost",$A$3,"Group","AOP")</f>
        <v>3</v>
      </c>
      <c r="N17">
        <f>GETPIVOTDATA("Sum - Store Lost",$A$3,"Group","ComEd")</f>
        <v>1</v>
      </c>
      <c r="R17">
        <f>GETPIVOTDATA("Sum - Store Lost",$A$3,"Group","UNK")</f>
        <v>1</v>
      </c>
      <c r="S17" s="71">
        <f>SUM(B17:R17)</f>
        <v>17</v>
      </c>
    </row>
    <row r="18" spans="1:19" ht="12.75">
      <c r="A18" s="74"/>
      <c r="B18" s="73"/>
      <c r="C18" s="73"/>
      <c r="D18" s="73"/>
      <c r="E18" s="73"/>
      <c r="G18" s="73"/>
      <c r="H18" s="73"/>
      <c r="I18" s="73"/>
      <c r="M18" s="73"/>
      <c r="O18" s="73"/>
      <c r="S18" s="71"/>
    </row>
    <row r="19" spans="1:19" ht="13.5" thickBot="1">
      <c r="A19" s="74"/>
      <c r="B19" s="73"/>
      <c r="C19" s="73"/>
      <c r="D19" s="73"/>
      <c r="E19" s="73"/>
      <c r="G19" s="73"/>
      <c r="H19" s="73"/>
      <c r="I19" s="73"/>
      <c r="M19" s="73"/>
      <c r="O19" s="73"/>
      <c r="S19" s="71"/>
    </row>
    <row r="20" spans="2:19" ht="12.75">
      <c r="B20" s="60" t="s">
        <v>23</v>
      </c>
      <c r="C20" s="61" t="s">
        <v>44</v>
      </c>
      <c r="D20" s="61" t="s">
        <v>22</v>
      </c>
      <c r="E20" s="61" t="s">
        <v>45</v>
      </c>
      <c r="F20" s="61" t="s">
        <v>46</v>
      </c>
      <c r="G20" s="61" t="s">
        <v>47</v>
      </c>
      <c r="H20" s="61" t="s">
        <v>48</v>
      </c>
      <c r="I20" s="61" t="s">
        <v>24</v>
      </c>
      <c r="J20" s="61" t="s">
        <v>50</v>
      </c>
      <c r="K20" s="61" t="s">
        <v>51</v>
      </c>
      <c r="L20" s="61" t="s">
        <v>52</v>
      </c>
      <c r="M20" s="61" t="s">
        <v>53</v>
      </c>
      <c r="N20" s="61" t="s">
        <v>54</v>
      </c>
      <c r="O20" s="61" t="s">
        <v>55</v>
      </c>
      <c r="P20" s="61" t="s">
        <v>56</v>
      </c>
      <c r="Q20" s="62" t="s">
        <v>57</v>
      </c>
      <c r="R20" s="63" t="s">
        <v>58</v>
      </c>
      <c r="S20" s="71"/>
    </row>
    <row r="21" spans="1:19" ht="12.75">
      <c r="A21" s="143" t="s">
        <v>81</v>
      </c>
      <c r="B21" s="75">
        <f aca="true" t="shared" si="0" ref="B21:H21">B17/($B24/24)</f>
        <v>0.028260506922838022</v>
      </c>
      <c r="C21" s="76">
        <f t="shared" si="0"/>
        <v>0.014130253461419011</v>
      </c>
      <c r="D21" s="76">
        <f t="shared" si="0"/>
        <v>0.056521013845676045</v>
      </c>
      <c r="E21" s="76">
        <f t="shared" si="0"/>
        <v>0</v>
      </c>
      <c r="F21" s="75">
        <f t="shared" si="0"/>
        <v>0.028260506922838022</v>
      </c>
      <c r="G21" s="75">
        <f t="shared" si="0"/>
        <v>0.014130253461419011</v>
      </c>
      <c r="H21" s="75">
        <f t="shared" si="0"/>
        <v>0</v>
      </c>
      <c r="I21" s="75"/>
      <c r="J21" s="76">
        <f>J17/($B24/24)</f>
        <v>0.042390760384257035</v>
      </c>
      <c r="K21" s="76">
        <f>K17/($B24/24)</f>
        <v>0</v>
      </c>
      <c r="L21" s="75">
        <f>L17/($B24/24)</f>
        <v>0</v>
      </c>
      <c r="M21" s="76"/>
      <c r="N21" s="75">
        <f aca="true" t="shared" si="1" ref="N21:S21">N17/($B24/24)</f>
        <v>0.014130253461419011</v>
      </c>
      <c r="O21" s="75">
        <f t="shared" si="1"/>
        <v>0</v>
      </c>
      <c r="P21" s="76">
        <f>M17/($B24/24)</f>
        <v>0</v>
      </c>
      <c r="Q21" s="75">
        <f t="shared" si="1"/>
        <v>0</v>
      </c>
      <c r="R21" s="75">
        <f t="shared" si="1"/>
        <v>0.014130253461419011</v>
      </c>
      <c r="S21" s="75">
        <f t="shared" si="1"/>
        <v>0.2402143088441232</v>
      </c>
    </row>
    <row r="22" spans="1:20" ht="12.75">
      <c r="A22" s="77" t="s">
        <v>61</v>
      </c>
      <c r="B22" s="78">
        <f>'[1]reliabilitySummary'!$F$7</f>
        <v>0.12</v>
      </c>
      <c r="C22" s="78">
        <f>'[1]reliabilitySummary'!$F$8</f>
        <v>0.03</v>
      </c>
      <c r="D22" s="78">
        <v>0.12</v>
      </c>
      <c r="E22" s="78">
        <v>0.05</v>
      </c>
      <c r="F22" s="78">
        <v>0.035</v>
      </c>
      <c r="G22" s="78">
        <v>0.035</v>
      </c>
      <c r="H22" s="78">
        <v>0.035</v>
      </c>
      <c r="I22" s="78">
        <v>0.06</v>
      </c>
      <c r="J22" s="78">
        <v>0.02</v>
      </c>
      <c r="K22" s="79">
        <v>0</v>
      </c>
      <c r="L22" s="79">
        <v>0.01</v>
      </c>
      <c r="M22" s="79">
        <v>0.01</v>
      </c>
      <c r="N22" s="79">
        <v>0.01</v>
      </c>
      <c r="O22" s="79">
        <v>0.01</v>
      </c>
      <c r="P22" s="79">
        <v>0.02</v>
      </c>
      <c r="Q22" s="79">
        <v>0.01</v>
      </c>
      <c r="R22" s="79">
        <v>0.02</v>
      </c>
      <c r="S22" s="79">
        <f>SUM(B22:R22)</f>
        <v>0.5950000000000001</v>
      </c>
      <c r="T22" s="80"/>
    </row>
    <row r="24" spans="1:2" ht="12.75">
      <c r="A24" s="37" t="s">
        <v>31</v>
      </c>
      <c r="B24" s="68">
        <f>'Main Data'!D61</f>
        <v>1698.4833333336283</v>
      </c>
    </row>
    <row r="25" spans="1:2" ht="12.75">
      <c r="A25" s="81" t="s">
        <v>35</v>
      </c>
      <c r="B25" s="79">
        <f>'Main Data'!D63</f>
        <v>1727</v>
      </c>
    </row>
    <row r="29" ht="12.75">
      <c r="A29" s="82"/>
    </row>
    <row r="35" ht="12.75">
      <c r="A35" s="83" t="s">
        <v>64</v>
      </c>
    </row>
    <row r="36" spans="1:6" ht="12.75">
      <c r="A36" s="82"/>
      <c r="B36" s="89"/>
      <c r="C36" s="90" t="s">
        <v>12</v>
      </c>
      <c r="D36" s="89"/>
      <c r="E36" s="89"/>
      <c r="F36" s="91"/>
    </row>
    <row r="37" spans="1:6" ht="12.75">
      <c r="A37" s="90" t="s">
        <v>15</v>
      </c>
      <c r="B37" s="90" t="s">
        <v>39</v>
      </c>
      <c r="C37" s="82" t="s">
        <v>22</v>
      </c>
      <c r="D37" s="92" t="s">
        <v>23</v>
      </c>
      <c r="E37" s="92" t="s">
        <v>66</v>
      </c>
      <c r="F37" s="93" t="s">
        <v>59</v>
      </c>
    </row>
    <row r="38" spans="1:6" ht="12.75">
      <c r="A38" s="82" t="s">
        <v>17</v>
      </c>
      <c r="B38" s="82" t="s">
        <v>41</v>
      </c>
      <c r="C38" s="94"/>
      <c r="D38" s="95">
        <v>1</v>
      </c>
      <c r="E38" s="95">
        <v>1</v>
      </c>
      <c r="F38" s="96">
        <v>2</v>
      </c>
    </row>
    <row r="39" spans="1:6" ht="12.75">
      <c r="A39" s="97"/>
      <c r="B39" s="98" t="s">
        <v>40</v>
      </c>
      <c r="C39" s="99"/>
      <c r="D39" s="73">
        <v>0</v>
      </c>
      <c r="E39" s="73">
        <v>0</v>
      </c>
      <c r="F39" s="100">
        <v>0</v>
      </c>
    </row>
    <row r="40" spans="1:6" ht="12.75">
      <c r="A40" s="82" t="s">
        <v>73</v>
      </c>
      <c r="B40" s="82" t="s">
        <v>41</v>
      </c>
      <c r="C40" s="94">
        <v>0</v>
      </c>
      <c r="D40" s="95"/>
      <c r="E40" s="95"/>
      <c r="F40" s="96">
        <v>0</v>
      </c>
    </row>
    <row r="41" spans="1:6" ht="12.75">
      <c r="A41" s="97"/>
      <c r="B41" s="98" t="s">
        <v>40</v>
      </c>
      <c r="C41" s="99">
        <v>1</v>
      </c>
      <c r="D41" s="73"/>
      <c r="E41" s="73"/>
      <c r="F41" s="100">
        <v>1</v>
      </c>
    </row>
    <row r="42" spans="1:6" ht="12.75">
      <c r="A42" s="82" t="s">
        <v>43</v>
      </c>
      <c r="B42" s="89"/>
      <c r="C42" s="94">
        <v>0</v>
      </c>
      <c r="D42" s="95">
        <v>1</v>
      </c>
      <c r="E42" s="95">
        <v>1</v>
      </c>
      <c r="F42" s="96">
        <v>2</v>
      </c>
    </row>
    <row r="43" spans="1:6" ht="12.75">
      <c r="A43" s="101" t="s">
        <v>42</v>
      </c>
      <c r="B43" s="102"/>
      <c r="C43" s="103">
        <v>1</v>
      </c>
      <c r="D43" s="144">
        <v>0</v>
      </c>
      <c r="E43" s="144">
        <v>0</v>
      </c>
      <c r="F43" s="104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6">
      <selection activeCell="A10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2015-04-22T14:48:05Z</cp:lastPrinted>
  <dcterms:created xsi:type="dcterms:W3CDTF">1998-01-15T00:06:45Z</dcterms:created>
  <dcterms:modified xsi:type="dcterms:W3CDTF">2015-04-29T15:45:49Z</dcterms:modified>
  <cp:category/>
  <cp:version/>
  <cp:contentType/>
  <cp:contentStatus/>
  <cp:revision>5</cp:revision>
</cp:coreProperties>
</file>