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300" yWindow="840" windowWidth="21300" windowHeight="9225" tabRatio="927" activeTab="2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5"/>
  </externalReferences>
  <definedNames>
    <definedName name="_1Excel_BuiltIn_Print_Area_1_1">'Main Data'!$A$2:$P$5</definedName>
    <definedName name="_2Excel_BuiltIn_Print_Area_1_1_1_1">'Main Data'!$A$2:$P$92</definedName>
    <definedName name="_3Excel_BuiltIn_Print_Area_4_1">'Faults Per Day'!$A$1:$W$67</definedName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_1">'Main Data'!$A$2:$P$68</definedName>
    <definedName name="Excel_BuiltIn_Print_Area_1_1_1">'Main Data'!$A$2:$P$91</definedName>
    <definedName name="Excel_BuiltIn_Print_Area_1_1_1_1">'Main Data'!$A$2:$P$77</definedName>
    <definedName name="Faults_Day_of_Delivered_Beam">'Main Data'!$D$120</definedName>
    <definedName name="Mean_Time_Between_Faults">'Main Data'!$D$119</definedName>
    <definedName name="Number_of_Fills">'Main Data'!$D$112</definedName>
    <definedName name="Number_of_Intentional_Dumps">'Main Data'!$D$111</definedName>
    <definedName name="Number_of_Lost_Fills">'Main Data'!$D$110</definedName>
    <definedName name="_xlnm.Print_Area" localSheetId="3">'Faults Per Day'!$A$1:$AC$81</definedName>
    <definedName name="_xlnm.Print_Area" localSheetId="0">'Main Data'!$A$2:$P$78</definedName>
    <definedName name="_xlnm.Print_Titles" localSheetId="0">'Main Data'!$5:$5</definedName>
    <definedName name="Refill_Time">'Main Data'!$D$1</definedName>
    <definedName name="Total_Schedule_Run_Length">'Main Data'!$D$116</definedName>
    <definedName name="Total_System_Downtime">'Main Data'!$K$112</definedName>
    <definedName name="Total_User_Beam">'Main Data'!$D$114</definedName>
    <definedName name="Total_User_Downtime">'Main Data'!$D$115</definedName>
    <definedName name="User_Beam_Days">'Main Data'!$E$114</definedName>
    <definedName name="X_ray_Availability">'Main Data'!$D$121</definedName>
  </definedNames>
  <calcPr calcId="145621"/>
  <pivotCaches>
    <pivotCache cacheId="0" r:id="rId6"/>
    <pivotCache cacheId="10" r:id="rId7"/>
  </pivotCaches>
</workbook>
</file>

<file path=xl/calcChain.xml><?xml version="1.0" encoding="utf-8"?>
<calcChain xmlns="http://schemas.openxmlformats.org/spreadsheetml/2006/main">
  <c r="K18" i="2" l="1"/>
  <c r="K17" i="2"/>
  <c r="N17" i="2"/>
  <c r="N18" i="2"/>
  <c r="K15" i="2" l="1"/>
  <c r="N15" i="2"/>
  <c r="N16" i="2"/>
  <c r="S61" i="1"/>
  <c r="R61" i="1"/>
  <c r="Q61" i="1"/>
  <c r="T61" i="1" s="1"/>
  <c r="K61" i="1"/>
  <c r="T60" i="1"/>
  <c r="S60" i="1"/>
  <c r="R60" i="1"/>
  <c r="Q60" i="1"/>
  <c r="K60" i="1"/>
  <c r="S64" i="1"/>
  <c r="R64" i="1"/>
  <c r="Q64" i="1"/>
  <c r="S63" i="1"/>
  <c r="R63" i="1"/>
  <c r="K63" i="1"/>
  <c r="J63" i="1"/>
  <c r="D63" i="1"/>
  <c r="S62" i="1"/>
  <c r="R62" i="1"/>
  <c r="Q62" i="1"/>
  <c r="T62" i="1" s="1"/>
  <c r="K62" i="1"/>
  <c r="J62" i="1"/>
  <c r="D62" i="1"/>
  <c r="S59" i="1"/>
  <c r="R59" i="1"/>
  <c r="Q59" i="1"/>
  <c r="J59" i="1"/>
  <c r="D59" i="1"/>
  <c r="D64" i="1" s="1"/>
  <c r="S58" i="1"/>
  <c r="R58" i="1"/>
  <c r="Q58" i="1"/>
  <c r="S57" i="1"/>
  <c r="R57" i="1"/>
  <c r="T57" i="1" s="1"/>
  <c r="K57" i="1"/>
  <c r="J57" i="1"/>
  <c r="D57" i="1"/>
  <c r="S56" i="1"/>
  <c r="R56" i="1"/>
  <c r="Q56" i="1"/>
  <c r="K56" i="1"/>
  <c r="K58" i="1" s="1"/>
  <c r="J56" i="1"/>
  <c r="J58" i="1" s="1"/>
  <c r="D56" i="1"/>
  <c r="S52" i="1"/>
  <c r="R52" i="1"/>
  <c r="Q52" i="1"/>
  <c r="K52" i="1"/>
  <c r="J52" i="1"/>
  <c r="D52" i="1"/>
  <c r="S51" i="1"/>
  <c r="R51" i="1"/>
  <c r="Q51" i="1"/>
  <c r="K51" i="1"/>
  <c r="J51" i="1"/>
  <c r="D51" i="1"/>
  <c r="S55" i="1"/>
  <c r="R55" i="1"/>
  <c r="Q55" i="1"/>
  <c r="S54" i="1"/>
  <c r="R54" i="1"/>
  <c r="T54" i="1" s="1"/>
  <c r="K54" i="1"/>
  <c r="J54" i="1"/>
  <c r="D54" i="1"/>
  <c r="S53" i="1"/>
  <c r="R53" i="1"/>
  <c r="Q53" i="1"/>
  <c r="K53" i="1"/>
  <c r="J53" i="1"/>
  <c r="D53" i="1"/>
  <c r="S50" i="1"/>
  <c r="R50" i="1"/>
  <c r="Q50" i="1"/>
  <c r="K50" i="1"/>
  <c r="J50" i="1"/>
  <c r="D50" i="1"/>
  <c r="O18" i="2"/>
  <c r="O17" i="2"/>
  <c r="P17" i="2"/>
  <c r="P18" i="2"/>
  <c r="E18" i="2"/>
  <c r="T59" i="1" l="1"/>
  <c r="T56" i="1"/>
  <c r="T63" i="1"/>
  <c r="T64" i="1"/>
  <c r="T58" i="1"/>
  <c r="J64" i="1"/>
  <c r="K64" i="1"/>
  <c r="T51" i="1"/>
  <c r="D58" i="1"/>
  <c r="K55" i="1"/>
  <c r="T53" i="1"/>
  <c r="T52" i="1"/>
  <c r="T50" i="1"/>
  <c r="D55" i="1"/>
  <c r="J55" i="1"/>
  <c r="T55" i="1"/>
  <c r="J46" i="1"/>
  <c r="S49" i="1"/>
  <c r="R49" i="1"/>
  <c r="Q49" i="1"/>
  <c r="S48" i="1"/>
  <c r="R48" i="1"/>
  <c r="K48" i="1"/>
  <c r="J48" i="1"/>
  <c r="D48" i="1"/>
  <c r="S47" i="1"/>
  <c r="R47" i="1"/>
  <c r="Q47" i="1"/>
  <c r="K47" i="1"/>
  <c r="J47" i="1"/>
  <c r="D47" i="1"/>
  <c r="S46" i="1"/>
  <c r="R46" i="1"/>
  <c r="Q46" i="1"/>
  <c r="K46" i="1"/>
  <c r="D46" i="1"/>
  <c r="S45" i="1"/>
  <c r="R45" i="1"/>
  <c r="Q45" i="1"/>
  <c r="S44" i="1"/>
  <c r="R44" i="1"/>
  <c r="K44" i="1"/>
  <c r="J44" i="1"/>
  <c r="D44" i="1"/>
  <c r="S43" i="1"/>
  <c r="R43" i="1"/>
  <c r="Q43" i="1"/>
  <c r="K43" i="1"/>
  <c r="J43" i="1"/>
  <c r="D43" i="1"/>
  <c r="S42" i="1"/>
  <c r="R42" i="1"/>
  <c r="Q42" i="1"/>
  <c r="K42" i="1"/>
  <c r="J42" i="1"/>
  <c r="D42" i="1"/>
  <c r="T45" i="1" l="1"/>
  <c r="T47" i="1"/>
  <c r="T49" i="1"/>
  <c r="T46" i="1"/>
  <c r="T48" i="1"/>
  <c r="J49" i="1"/>
  <c r="D49" i="1"/>
  <c r="K49" i="1"/>
  <c r="T44" i="1"/>
  <c r="T43" i="1"/>
  <c r="J45" i="1"/>
  <c r="K45" i="1"/>
  <c r="T42" i="1"/>
  <c r="D45" i="1"/>
  <c r="Q25" i="1"/>
  <c r="Q26" i="1"/>
  <c r="Q27" i="1"/>
  <c r="Q28" i="1"/>
  <c r="S41" i="1"/>
  <c r="R41" i="1"/>
  <c r="Q41" i="1"/>
  <c r="S40" i="1"/>
  <c r="R40" i="1"/>
  <c r="K40" i="1"/>
  <c r="J40" i="1"/>
  <c r="D40" i="1"/>
  <c r="S39" i="1"/>
  <c r="R39" i="1"/>
  <c r="Q39" i="1"/>
  <c r="K39" i="1"/>
  <c r="J39" i="1"/>
  <c r="D39" i="1"/>
  <c r="S38" i="1"/>
  <c r="R38" i="1"/>
  <c r="Q38" i="1"/>
  <c r="K38" i="1"/>
  <c r="J38" i="1"/>
  <c r="D38" i="1"/>
  <c r="S37" i="1"/>
  <c r="R37" i="1"/>
  <c r="Q37" i="1"/>
  <c r="K37" i="1"/>
  <c r="J37" i="1"/>
  <c r="D37" i="1"/>
  <c r="T37" i="1" l="1"/>
  <c r="T39" i="1"/>
  <c r="T40" i="1"/>
  <c r="T41" i="1"/>
  <c r="T38" i="1"/>
  <c r="J41" i="1"/>
  <c r="D41" i="1"/>
  <c r="K41" i="1"/>
  <c r="S36" i="1"/>
  <c r="R36" i="1"/>
  <c r="Q36" i="1"/>
  <c r="S35" i="1"/>
  <c r="R35" i="1"/>
  <c r="K35" i="1"/>
  <c r="J35" i="1"/>
  <c r="D35" i="1"/>
  <c r="S34" i="1"/>
  <c r="R34" i="1"/>
  <c r="Q34" i="1"/>
  <c r="K34" i="1"/>
  <c r="J34" i="1"/>
  <c r="D34" i="1"/>
  <c r="K30" i="1"/>
  <c r="J30" i="1"/>
  <c r="D31" i="1"/>
  <c r="K31" i="1"/>
  <c r="J31" i="1"/>
  <c r="S33" i="1"/>
  <c r="R33" i="1"/>
  <c r="Q33" i="1"/>
  <c r="S32" i="1"/>
  <c r="R32" i="1"/>
  <c r="K32" i="1"/>
  <c r="J32" i="1"/>
  <c r="D32" i="1"/>
  <c r="S31" i="1"/>
  <c r="R31" i="1"/>
  <c r="Q31" i="1"/>
  <c r="S30" i="1"/>
  <c r="R30" i="1"/>
  <c r="Q30" i="1"/>
  <c r="D30" i="1"/>
  <c r="S29" i="1"/>
  <c r="R29" i="1"/>
  <c r="Q29" i="1"/>
  <c r="K29" i="1"/>
  <c r="J29" i="1"/>
  <c r="D29" i="1"/>
  <c r="T35" i="1" l="1"/>
  <c r="T31" i="1"/>
  <c r="T33" i="1"/>
  <c r="T34" i="1"/>
  <c r="T36" i="1"/>
  <c r="J36" i="1"/>
  <c r="T29" i="1"/>
  <c r="T32" i="1"/>
  <c r="K36" i="1"/>
  <c r="D36" i="1"/>
  <c r="T30" i="1"/>
  <c r="K33" i="1"/>
  <c r="D33" i="1"/>
  <c r="J33" i="1"/>
  <c r="S25" i="1"/>
  <c r="R25" i="1"/>
  <c r="K25" i="1"/>
  <c r="S24" i="1"/>
  <c r="R24" i="1"/>
  <c r="Q24" i="1"/>
  <c r="K24" i="1"/>
  <c r="K26" i="1"/>
  <c r="S28" i="1"/>
  <c r="R28" i="1"/>
  <c r="S27" i="1"/>
  <c r="R27" i="1"/>
  <c r="K27" i="1"/>
  <c r="J27" i="1"/>
  <c r="D27" i="1"/>
  <c r="S26" i="1"/>
  <c r="R26" i="1"/>
  <c r="J26" i="1"/>
  <c r="D26" i="1"/>
  <c r="S23" i="1"/>
  <c r="R23" i="1"/>
  <c r="Q23" i="1"/>
  <c r="J23" i="1"/>
  <c r="D23" i="1"/>
  <c r="J20" i="1"/>
  <c r="D20" i="1"/>
  <c r="K16" i="1"/>
  <c r="J16" i="1"/>
  <c r="J17" i="1"/>
  <c r="S22" i="1"/>
  <c r="R22" i="1"/>
  <c r="Q22" i="1"/>
  <c r="S21" i="1"/>
  <c r="R21" i="1"/>
  <c r="K21" i="1"/>
  <c r="J21" i="1"/>
  <c r="D21" i="1"/>
  <c r="S20" i="1"/>
  <c r="R20" i="1"/>
  <c r="Q20" i="1"/>
  <c r="K20" i="1"/>
  <c r="S17" i="1"/>
  <c r="R17" i="1"/>
  <c r="D17" i="1"/>
  <c r="S19" i="1"/>
  <c r="R19" i="1"/>
  <c r="Q19" i="1"/>
  <c r="K19" i="1"/>
  <c r="S18" i="1"/>
  <c r="R18" i="1"/>
  <c r="Q18" i="1"/>
  <c r="K18" i="1"/>
  <c r="S16" i="1"/>
  <c r="R16" i="1"/>
  <c r="Q16" i="1"/>
  <c r="D16" i="1"/>
  <c r="S15" i="1"/>
  <c r="R15" i="1"/>
  <c r="Q15" i="1"/>
  <c r="K15" i="1"/>
  <c r="J15" i="1"/>
  <c r="D15" i="1"/>
  <c r="K12" i="1"/>
  <c r="J12" i="1"/>
  <c r="J14" i="1" s="1"/>
  <c r="S14" i="1"/>
  <c r="R14" i="1"/>
  <c r="Q14" i="1"/>
  <c r="S13" i="1"/>
  <c r="R13" i="1"/>
  <c r="K13" i="1"/>
  <c r="J13" i="1"/>
  <c r="D13" i="1"/>
  <c r="S12" i="1"/>
  <c r="R12" i="1"/>
  <c r="Q12" i="1"/>
  <c r="D12" i="1"/>
  <c r="D14" i="1" s="1"/>
  <c r="K22" i="1" l="1"/>
  <c r="K14" i="1"/>
  <c r="D22" i="1"/>
  <c r="T18" i="1"/>
  <c r="T19" i="1"/>
  <c r="T25" i="1"/>
  <c r="T27" i="1"/>
  <c r="J22" i="1"/>
  <c r="T24" i="1"/>
  <c r="T21" i="1"/>
  <c r="T20" i="1"/>
  <c r="T28" i="1"/>
  <c r="T13" i="1"/>
  <c r="T23" i="1"/>
  <c r="T12" i="1"/>
  <c r="T14" i="1"/>
  <c r="T16" i="1"/>
  <c r="T17" i="1"/>
  <c r="T22" i="1"/>
  <c r="T26" i="1"/>
  <c r="K28" i="1"/>
  <c r="D28" i="1"/>
  <c r="J28" i="1"/>
  <c r="T15" i="1"/>
  <c r="J8" i="1"/>
  <c r="K8" i="1"/>
  <c r="J9" i="1"/>
  <c r="K9" i="1"/>
  <c r="J10" i="1"/>
  <c r="K10" i="1"/>
  <c r="K6" i="1"/>
  <c r="J6" i="1"/>
  <c r="D7" i="1"/>
  <c r="D10" i="1"/>
  <c r="D6" i="1"/>
  <c r="D11" i="1" l="1"/>
  <c r="K11" i="1"/>
  <c r="J11" i="1"/>
  <c r="S9" i="1"/>
  <c r="R9" i="1"/>
  <c r="Q9" i="1"/>
  <c r="S8" i="1"/>
  <c r="R8" i="1"/>
  <c r="Q8" i="1"/>
  <c r="E17" i="2"/>
  <c r="T8" i="1" l="1"/>
  <c r="T9" i="1"/>
  <c r="R66" i="1"/>
  <c r="R67" i="1"/>
  <c r="D68" i="1"/>
  <c r="B17" i="2"/>
  <c r="I18" i="2"/>
  <c r="D18" i="2"/>
  <c r="Q17" i="2"/>
  <c r="Q18" i="2"/>
  <c r="C17" i="2"/>
  <c r="I17" i="2"/>
  <c r="C18" i="2"/>
  <c r="Q70" i="1" l="1"/>
  <c r="Q71" i="1"/>
  <c r="Q72" i="1"/>
  <c r="R73" i="1"/>
  <c r="R74" i="1"/>
  <c r="S11" i="1"/>
  <c r="R11" i="1"/>
  <c r="Q11" i="1"/>
  <c r="S10" i="1"/>
  <c r="R10" i="1"/>
  <c r="S7" i="1"/>
  <c r="R7" i="1"/>
  <c r="Q7" i="1"/>
  <c r="J68" i="1"/>
  <c r="S6" i="1"/>
  <c r="R6" i="1"/>
  <c r="Q6" i="1"/>
  <c r="T10" i="1" l="1"/>
  <c r="T7" i="1"/>
  <c r="T11" i="1"/>
  <c r="T6" i="1"/>
  <c r="Q68" i="1" l="1"/>
  <c r="D66" i="1" s="1"/>
  <c r="D67" i="1" s="1"/>
  <c r="R68" i="1"/>
  <c r="S68" i="1"/>
  <c r="K68" i="1"/>
  <c r="D70" i="1"/>
  <c r="T68" i="1" l="1"/>
  <c r="D71" i="1"/>
  <c r="D72" i="1" s="1"/>
  <c r="E70" i="1"/>
  <c r="Q73" i="1"/>
  <c r="C23" i="2" l="1"/>
  <c r="B23" i="2"/>
  <c r="S23" i="2" s="1"/>
  <c r="Q16" i="2"/>
  <c r="P16" i="2"/>
  <c r="O16" i="2"/>
  <c r="M16" i="2"/>
  <c r="L16" i="2"/>
  <c r="K16" i="2"/>
  <c r="J16" i="2"/>
  <c r="I16" i="2"/>
  <c r="H16" i="2"/>
  <c r="E16" i="2"/>
  <c r="D16" i="2"/>
  <c r="C16" i="2"/>
  <c r="B16" i="2"/>
  <c r="X1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G15" i="2"/>
  <c r="J15" i="2"/>
  <c r="L15" i="2"/>
  <c r="P15" i="2"/>
  <c r="D17" i="2"/>
  <c r="F18" i="2"/>
  <c r="F17" i="2"/>
  <c r="H17" i="2"/>
  <c r="H18" i="2"/>
  <c r="B18" i="2"/>
  <c r="T17" i="2" l="1"/>
  <c r="T15" i="2" s="1"/>
  <c r="S18" i="2"/>
  <c r="Q158" i="1"/>
  <c r="S17" i="2"/>
  <c r="D75" i="1" l="1"/>
  <c r="B25" i="2"/>
  <c r="L22" i="2" l="1"/>
  <c r="O22" i="2"/>
  <c r="P22" i="2"/>
  <c r="Q22" i="2"/>
  <c r="R22" i="2"/>
  <c r="H22" i="2"/>
  <c r="D76" i="1"/>
  <c r="B26" i="2"/>
  <c r="E15" i="2" s="1"/>
  <c r="D77" i="1"/>
  <c r="S22" i="2"/>
  <c r="M22" i="2"/>
  <c r="E22" i="2"/>
  <c r="D22" i="2"/>
  <c r="I22" i="2"/>
  <c r="C22" i="2"/>
  <c r="J22" i="2"/>
  <c r="K22" i="2"/>
  <c r="B22" i="2"/>
  <c r="G22" i="2"/>
  <c r="N22" i="2"/>
  <c r="F22" i="2"/>
  <c r="Q15" i="2" l="1"/>
  <c r="I15" i="2"/>
  <c r="C15" i="2"/>
  <c r="S15" i="2"/>
  <c r="B15" i="2"/>
  <c r="M15" i="2"/>
  <c r="H15" i="2"/>
  <c r="D15" i="2"/>
  <c r="F15" i="2"/>
</calcChain>
</file>

<file path=xl/sharedStrings.xml><?xml version="1.0" encoding="utf-8"?>
<sst xmlns="http://schemas.openxmlformats.org/spreadsheetml/2006/main" count="298" uniqueCount="109">
  <si>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</si>
  <si>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</si>
  <si>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</si>
  <si>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</si>
  <si>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</si>
  <si>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</si>
  <si>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</si>
  <si>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</si>
  <si>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</si>
  <si>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</si>
  <si>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</si>
  <si>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</si>
  <si>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</si>
  <si>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</si>
  <si>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</si>
  <si>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</si>
  <si>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</si>
  <si>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</si>
  <si>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</si>
  <si>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</si>
  <si>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</si>
  <si>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</si>
  <si>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</si>
  <si>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</si>
  <si>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</si>
  <si>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</si>
  <si>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</si>
  <si>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</si>
  <si>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</si>
  <si>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</si>
  <si>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</si>
  <si>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</si>
  <si>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</si>
  <si>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</si>
  <si>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</si>
  <si>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</si>
  <si>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</si>
  <si>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</si>
  <si>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</si>
  <si>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</si>
  <si>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</si>
  <si>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</si>
  <si>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</si>
  <si>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</si>
  <si>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</si>
  <si>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</si>
  <si>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</si>
  <si>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</si>
  <si>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</si>
  <si>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</si>
  <si>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</si>
  <si>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</si>
  <si>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</si>
  <si>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</si>
  <si>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</si>
  <si>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</si>
  <si>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</si>
  <si>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</si>
  <si>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</si>
  <si>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</si>
  <si>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</si>
  <si>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</si>
  <si>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</si>
  <si>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</si>
  <si>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Sum of System
Length</t>
  </si>
  <si>
    <t>Inhibits Beam to User</t>
  </si>
  <si>
    <t>SI</t>
  </si>
  <si>
    <t>ComEd</t>
  </si>
  <si>
    <t>FMS</t>
  </si>
  <si>
    <t>DIA</t>
  </si>
  <si>
    <t>AOP</t>
  </si>
  <si>
    <t>UNK</t>
  </si>
  <si>
    <t>APS-U</t>
  </si>
  <si>
    <t>Safety Intlks</t>
  </si>
  <si>
    <t>CTL</t>
  </si>
  <si>
    <t>11BM PSS fault[SI]</t>
  </si>
  <si>
    <t xml:space="preserve">Int Dump: End of Period </t>
  </si>
  <si>
    <t xml:space="preserve">IOC recovery [CTL] </t>
  </si>
  <si>
    <t>Downtime for Run 2014-2</t>
  </si>
  <si>
    <t xml:space="preserve">9BM PSS trip [SI]        </t>
  </si>
  <si>
    <t xml:space="preserve">Unstable RF3 LLRF [RF]   </t>
  </si>
  <si>
    <t>Unstable RF 3 LLRF[RF]</t>
  </si>
  <si>
    <t xml:space="preserve">30-ID BPLD [DIAG]        </t>
  </si>
  <si>
    <t xml:space="preserve"> S13A:Q4 trip[PS] </t>
  </si>
  <si>
    <t>RF LL instability[RF]</t>
  </si>
  <si>
    <t xml:space="preserve">P0 feedback problem </t>
  </si>
  <si>
    <t xml:space="preserve">30-ID BPLD trip[DIAG]    </t>
  </si>
  <si>
    <t xml:space="preserve">Tornado Warning          </t>
  </si>
  <si>
    <t xml:space="preserve">&lt;50mA Helios down[IT]    </t>
  </si>
  <si>
    <t>Weather</t>
  </si>
  <si>
    <t>IT</t>
  </si>
  <si>
    <t>Water flow fault [MOM]</t>
  </si>
  <si>
    <t xml:space="preserve">Human error [UES] </t>
  </si>
  <si>
    <t xml:space="preserve">RF2 Crowbar[RF] </t>
  </si>
  <si>
    <t xml:space="preserve">S17A:Q4 trip[PS]         </t>
  </si>
  <si>
    <t>UES</t>
  </si>
  <si>
    <t>BPM IOC problem[CTL]</t>
  </si>
  <si>
    <t xml:space="preserve">S38 Gespac problem[PS] </t>
  </si>
  <si>
    <t>S18 MPS water fault[MOM]</t>
  </si>
  <si>
    <t>RF2 crowbar [RF]</t>
  </si>
  <si>
    <t xml:space="preserve">Corr.PS @ max.[CTL]      </t>
  </si>
  <si>
    <t>IOCS29bpm failure[CTL]</t>
  </si>
  <si>
    <t>S10B:V1 glitch [PS]</t>
  </si>
  <si>
    <t xml:space="preserve">S10B:V1 glitch [PS]      </t>
  </si>
  <si>
    <t xml:space="preserve">S37 RF Hybrid flow[MOM]  </t>
  </si>
  <si>
    <t>Linac recovery, L3 P.S.;1.79hr[SI],.68hr.[PS]</t>
  </si>
  <si>
    <t xml:space="preserve">11BM EPS trip [SI] </t>
  </si>
  <si>
    <t xml:space="preserve">S38 Gespac problem[PS]   </t>
  </si>
  <si>
    <t>Run 2014-2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</si>
</sst>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mmd/d/yy\ h:mm;@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Bitstream Vera Sans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1"/>
        <bgColor indexed="38"/>
      </patternFill>
    </fill>
    <fill>
      <patternFill patternType="solid">
        <fgColor indexed="38"/>
        <bgColor indexed="21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rgb="FF00FFFF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31"/>
      </patternFill>
    </fill>
    <fill>
      <patternFill patternType="solid">
        <fgColor theme="0" tint="-0.14999847407452621"/>
        <bgColor indexed="31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9">
    <xf numFmtId="0" fontId="0" fillId="0" borderId="0"/>
    <xf numFmtId="168" fontId="9" fillId="0" borderId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9" fontId="9" fillId="0" borderId="0" applyFill="0" applyBorder="0" applyAlignment="0" applyProtection="0"/>
  </cellStyleXfs>
  <cellXfs count="209">
    <xf numFmtId="0" fontId="0" fillId="0" borderId="0" xfId="0"/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2" fontId="2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5" fontId="4" fillId="0" borderId="0" xfId="0" applyNumberFormat="1" applyFont="1" applyAlignment="1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/>
    <xf numFmtId="2" fontId="2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textRotation="90"/>
    </xf>
    <xf numFmtId="0" fontId="4" fillId="0" borderId="2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/>
    <xf numFmtId="0" fontId="0" fillId="2" borderId="1" xfId="0" applyFill="1" applyBorder="1"/>
    <xf numFmtId="0" fontId="0" fillId="2" borderId="2" xfId="0" applyFill="1" applyBorder="1"/>
    <xf numFmtId="164" fontId="4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</xf>
    <xf numFmtId="165" fontId="2" fillId="0" borderId="0" xfId="0" applyNumberFormat="1" applyFont="1" applyFill="1" applyAlignment="1"/>
    <xf numFmtId="1" fontId="2" fillId="0" borderId="3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22" fontId="0" fillId="0" borderId="0" xfId="0" applyNumberFormat="1" applyFont="1" applyFill="1"/>
    <xf numFmtId="167" fontId="3" fillId="0" borderId="0" xfId="0" applyNumberFormat="1" applyFont="1" applyFill="1" applyAlignment="1"/>
    <xf numFmtId="0" fontId="2" fillId="0" borderId="0" xfId="0" applyNumberFormat="1" applyFont="1" applyFill="1" applyAlignment="1"/>
    <xf numFmtId="1" fontId="0" fillId="0" borderId="0" xfId="0" applyNumberFormat="1" applyFill="1"/>
    <xf numFmtId="2" fontId="2" fillId="0" borderId="0" xfId="0" applyNumberFormat="1" applyFont="1" applyFill="1" applyBorder="1" applyAlignment="1">
      <alignment horizontal="right"/>
    </xf>
    <xf numFmtId="17" fontId="0" fillId="0" borderId="0" xfId="0" applyNumberFormat="1" applyFill="1"/>
    <xf numFmtId="1" fontId="0" fillId="0" borderId="0" xfId="0" applyNumberFormat="1" applyFill="1" applyAlignment="1">
      <alignment wrapText="1"/>
    </xf>
    <xf numFmtId="2" fontId="2" fillId="0" borderId="0" xfId="1" applyNumberFormat="1" applyFont="1" applyFill="1" applyBorder="1" applyAlignment="1" applyProtection="1">
      <alignment horizontal="right"/>
    </xf>
    <xf numFmtId="165" fontId="2" fillId="0" borderId="0" xfId="0" applyNumberFormat="1" applyFont="1" applyAlignment="1"/>
    <xf numFmtId="17" fontId="3" fillId="0" borderId="0" xfId="0" applyNumberFormat="1" applyFont="1" applyFill="1" applyAlignment="1"/>
    <xf numFmtId="17" fontId="2" fillId="0" borderId="0" xfId="0" applyNumberFormat="1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69" fontId="2" fillId="0" borderId="0" xfId="8" applyNumberFormat="1" applyFont="1" applyFill="1" applyBorder="1" applyAlignment="1" applyProtection="1">
      <alignment horizontal="right"/>
    </xf>
    <xf numFmtId="170" fontId="3" fillId="0" borderId="0" xfId="0" applyNumberFormat="1" applyFont="1" applyFill="1" applyAlignment="1"/>
    <xf numFmtId="0" fontId="0" fillId="0" borderId="4" xfId="0" applyFill="1" applyBorder="1"/>
    <xf numFmtId="0" fontId="0" fillId="0" borderId="5" xfId="0" applyFill="1" applyBorder="1"/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Protection="1">
      <protection locked="0"/>
    </xf>
    <xf numFmtId="169" fontId="4" fillId="0" borderId="0" xfId="0" applyNumberFormat="1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2" fontId="0" fillId="0" borderId="0" xfId="0" applyNumberFormat="1"/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4" fillId="0" borderId="0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Border="1" applyAlignment="1">
      <alignment horizontal="right"/>
    </xf>
    <xf numFmtId="0" fontId="0" fillId="0" borderId="0" xfId="0" applyNumberFormat="1"/>
    <xf numFmtId="0" fontId="4" fillId="0" borderId="0" xfId="0" applyFont="1"/>
    <xf numFmtId="167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9" fontId="0" fillId="0" borderId="0" xfId="8" applyNumberFormat="1" applyFont="1" applyFill="1" applyBorder="1" applyAlignment="1" applyProtection="1">
      <alignment vertical="top" wrapText="1"/>
      <protection locked="0"/>
    </xf>
    <xf numFmtId="2" fontId="0" fillId="0" borderId="0" xfId="8" applyNumberFormat="1" applyFont="1" applyFill="1" applyBorder="1" applyAlignmen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8" fillId="0" borderId="0" xfId="0" applyNumberFormat="1" applyFont="1" applyFill="1" applyAlignment="1">
      <alignment horizontal="right"/>
    </xf>
    <xf numFmtId="0" fontId="0" fillId="0" borderId="8" xfId="0" applyBorder="1"/>
    <xf numFmtId="0" fontId="0" fillId="0" borderId="0" xfId="0" applyFont="1"/>
    <xf numFmtId="0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</xf>
    <xf numFmtId="164" fontId="2" fillId="3" borderId="9" xfId="0" applyNumberFormat="1" applyFont="1" applyFill="1" applyBorder="1" applyAlignment="1"/>
    <xf numFmtId="0" fontId="2" fillId="0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wrapText="1"/>
    </xf>
    <xf numFmtId="0" fontId="2" fillId="0" borderId="1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protection locked="0"/>
    </xf>
    <xf numFmtId="0" fontId="2" fillId="0" borderId="10" xfId="0" applyNumberFormat="1" applyFont="1" applyFill="1" applyBorder="1" applyAlignment="1" applyProtection="1">
      <alignment horizontal="left"/>
    </xf>
    <xf numFmtId="0" fontId="2" fillId="2" borderId="10" xfId="0" applyNumberFormat="1" applyFont="1" applyFill="1" applyBorder="1" applyAlignment="1">
      <alignment horizontal="right"/>
    </xf>
    <xf numFmtId="164" fontId="0" fillId="2" borderId="10" xfId="0" applyNumberFormat="1" applyFont="1" applyFill="1" applyBorder="1" applyAlignment="1">
      <alignment wrapText="1"/>
    </xf>
    <xf numFmtId="2" fontId="2" fillId="2" borderId="10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protection locked="0"/>
    </xf>
    <xf numFmtId="0" fontId="2" fillId="2" borderId="10" xfId="0" applyNumberFormat="1" applyFont="1" applyFill="1" applyBorder="1" applyAlignment="1" applyProtection="1">
      <alignment horizontal="left"/>
    </xf>
    <xf numFmtId="0" fontId="0" fillId="0" borderId="11" xfId="0" applyBorder="1"/>
    <xf numFmtId="0" fontId="0" fillId="0" borderId="8" xfId="0" pivotButton="1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8" xfId="0" applyNumberFormat="1" applyBorder="1"/>
    <xf numFmtId="0" fontId="0" fillId="0" borderId="13" xfId="0" applyNumberFormat="1" applyBorder="1"/>
    <xf numFmtId="0" fontId="0" fillId="0" borderId="9" xfId="0" applyNumberFormat="1" applyBorder="1"/>
    <xf numFmtId="0" fontId="0" fillId="0" borderId="14" xfId="0" applyBorder="1"/>
    <xf numFmtId="0" fontId="0" fillId="0" borderId="15" xfId="0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2" xfId="0" applyBorder="1"/>
    <xf numFmtId="0" fontId="0" fillId="0" borderId="17" xfId="0" applyBorder="1"/>
    <xf numFmtId="0" fontId="0" fillId="0" borderId="2" xfId="0" applyNumberFormat="1" applyBorder="1"/>
    <xf numFmtId="0" fontId="0" fillId="0" borderId="18" xfId="0" applyNumberFormat="1" applyBorder="1"/>
    <xf numFmtId="0" fontId="0" fillId="0" borderId="1" xfId="0" applyNumberFormat="1" applyBorder="1"/>
    <xf numFmtId="0" fontId="0" fillId="0" borderId="19" xfId="0" applyBorder="1"/>
    <xf numFmtId="2" fontId="0" fillId="0" borderId="20" xfId="0" applyNumberFormat="1" applyBorder="1"/>
    <xf numFmtId="2" fontId="0" fillId="0" borderId="21" xfId="0" applyNumberFormat="1" applyBorder="1"/>
    <xf numFmtId="0" fontId="0" fillId="0" borderId="0" xfId="0" applyNumberFormat="1" applyBorder="1" applyProtection="1">
      <protection locked="0"/>
    </xf>
    <xf numFmtId="164" fontId="2" fillId="0" borderId="22" xfId="0" applyNumberFormat="1" applyFont="1" applyFill="1" applyBorder="1" applyAlignment="1"/>
    <xf numFmtId="164" fontId="2" fillId="2" borderId="22" xfId="0" applyNumberFormat="1" applyFont="1" applyFill="1" applyBorder="1" applyAlignment="1"/>
    <xf numFmtId="0" fontId="4" fillId="0" borderId="9" xfId="0" applyNumberFormat="1" applyFont="1" applyFill="1" applyBorder="1" applyAlignment="1">
      <alignment horizontal="center" textRotation="90"/>
    </xf>
    <xf numFmtId="164" fontId="4" fillId="0" borderId="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 textRotation="90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textRotation="90"/>
    </xf>
    <xf numFmtId="2" fontId="4" fillId="0" borderId="9" xfId="0" applyNumberFormat="1" applyFont="1" applyFill="1" applyBorder="1" applyAlignment="1">
      <alignment horizontal="center" textRotation="90" wrapText="1"/>
    </xf>
    <xf numFmtId="165" fontId="4" fillId="0" borderId="9" xfId="0" applyNumberFormat="1" applyFont="1" applyFill="1" applyBorder="1" applyAlignment="1">
      <alignment horizontal="center" textRotation="90" wrapText="1"/>
    </xf>
    <xf numFmtId="0" fontId="4" fillId="0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  <protection locked="0"/>
    </xf>
    <xf numFmtId="0" fontId="2" fillId="3" borderId="16" xfId="0" applyNumberFormat="1" applyFont="1" applyFill="1" applyBorder="1" applyAlignment="1">
      <alignment horizontal="right"/>
    </xf>
    <xf numFmtId="164" fontId="2" fillId="3" borderId="23" xfId="0" applyNumberFormat="1" applyFont="1" applyFill="1" applyBorder="1" applyAlignment="1">
      <alignment horizontal="left"/>
    </xf>
    <xf numFmtId="2" fontId="2" fillId="4" borderId="16" xfId="0" applyNumberFormat="1" applyFont="1" applyFill="1" applyBorder="1" applyAlignment="1">
      <alignment horizontal="right"/>
    </xf>
    <xf numFmtId="164" fontId="2" fillId="3" borderId="16" xfId="0" applyNumberFormat="1" applyFont="1" applyFill="1" applyBorder="1" applyAlignment="1"/>
    <xf numFmtId="0" fontId="2" fillId="3" borderId="16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left"/>
    </xf>
    <xf numFmtId="2" fontId="4" fillId="3" borderId="16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 applyProtection="1"/>
    <xf numFmtId="0" fontId="2" fillId="3" borderId="16" xfId="0" applyNumberFormat="1" applyFont="1" applyFill="1" applyBorder="1" applyAlignment="1" applyProtection="1">
      <protection locked="0"/>
    </xf>
    <xf numFmtId="0" fontId="2" fillId="3" borderId="16" xfId="0" applyNumberFormat="1" applyFont="1" applyFill="1" applyBorder="1" applyAlignment="1" applyProtection="1">
      <alignment horizontal="left"/>
    </xf>
    <xf numFmtId="164" fontId="0" fillId="0" borderId="10" xfId="0" applyNumberFormat="1" applyBorder="1" applyAlignment="1">
      <alignment wrapText="1"/>
    </xf>
    <xf numFmtId="166" fontId="7" fillId="2" borderId="10" xfId="0" applyNumberFormat="1" applyFont="1" applyFill="1" applyBorder="1" applyAlignment="1">
      <alignment wrapText="1"/>
    </xf>
    <xf numFmtId="0" fontId="0" fillId="0" borderId="20" xfId="0" applyNumberFormat="1" applyBorder="1"/>
    <xf numFmtId="2" fontId="2" fillId="5" borderId="10" xfId="0" applyNumberFormat="1" applyFont="1" applyFill="1" applyBorder="1" applyAlignment="1">
      <alignment horizontal="right"/>
    </xf>
    <xf numFmtId="166" fontId="0" fillId="6" borderId="10" xfId="0" applyNumberFormat="1" applyFont="1" applyFill="1" applyBorder="1" applyAlignment="1">
      <alignment wrapText="1"/>
    </xf>
    <xf numFmtId="2" fontId="0" fillId="0" borderId="19" xfId="0" applyNumberFormat="1" applyBorder="1"/>
    <xf numFmtId="2" fontId="1" fillId="0" borderId="0" xfId="0" applyNumberFormat="1" applyFont="1" applyProtection="1">
      <protection locked="0"/>
    </xf>
    <xf numFmtId="166" fontId="0" fillId="7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 wrapText="1"/>
    </xf>
    <xf numFmtId="2" fontId="2" fillId="8" borderId="10" xfId="0" applyNumberFormat="1" applyFont="1" applyFill="1" applyBorder="1" applyAlignment="1">
      <alignment horizontal="right"/>
    </xf>
    <xf numFmtId="2" fontId="2" fillId="7" borderId="10" xfId="0" applyNumberFormat="1" applyFont="1" applyFill="1" applyBorder="1" applyAlignment="1">
      <alignment horizontal="right"/>
    </xf>
    <xf numFmtId="0" fontId="2" fillId="5" borderId="10" xfId="0" applyNumberFormat="1" applyFont="1" applyFill="1" applyBorder="1" applyAlignment="1">
      <alignment horizontal="right"/>
    </xf>
    <xf numFmtId="166" fontId="0" fillId="10" borderId="10" xfId="0" applyNumberFormat="1" applyFont="1" applyFill="1" applyBorder="1" applyAlignment="1">
      <alignment wrapText="1"/>
    </xf>
    <xf numFmtId="164" fontId="0" fillId="5" borderId="10" xfId="0" applyNumberFormat="1" applyFont="1" applyFill="1" applyBorder="1" applyAlignment="1">
      <alignment wrapText="1"/>
    </xf>
    <xf numFmtId="164" fontId="2" fillId="5" borderId="10" xfId="0" applyNumberFormat="1" applyFont="1" applyFill="1" applyBorder="1" applyAlignment="1"/>
    <xf numFmtId="0" fontId="2" fillId="5" borderId="10" xfId="0" applyNumberFormat="1" applyFont="1" applyFill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164" fontId="0" fillId="9" borderId="10" xfId="0" applyNumberFormat="1" applyFont="1" applyFill="1" applyBorder="1" applyAlignment="1">
      <alignment wrapText="1"/>
    </xf>
    <xf numFmtId="166" fontId="2" fillId="9" borderId="10" xfId="0" applyNumberFormat="1" applyFont="1" applyFill="1" applyBorder="1" applyAlignment="1">
      <alignment wrapText="1"/>
    </xf>
    <xf numFmtId="0" fontId="2" fillId="9" borderId="10" xfId="0" applyNumberFormat="1" applyFont="1" applyFill="1" applyBorder="1" applyAlignment="1" applyProtection="1"/>
    <xf numFmtId="0" fontId="2" fillId="9" borderId="10" xfId="0" applyNumberFormat="1" applyFont="1" applyFill="1" applyBorder="1" applyAlignment="1" applyProtection="1">
      <protection locked="0"/>
    </xf>
    <xf numFmtId="0" fontId="2" fillId="9" borderId="10" xfId="0" applyNumberFormat="1" applyFont="1" applyFill="1" applyBorder="1" applyAlignment="1" applyProtection="1">
      <alignment horizontal="left"/>
    </xf>
    <xf numFmtId="164" fontId="2" fillId="9" borderId="22" xfId="0" applyNumberFormat="1" applyFont="1" applyFill="1" applyBorder="1" applyAlignment="1"/>
    <xf numFmtId="164" fontId="0" fillId="8" borderId="10" xfId="0" applyNumberFormat="1" applyFont="1" applyFill="1" applyBorder="1" applyAlignment="1">
      <alignment wrapText="1"/>
    </xf>
    <xf numFmtId="166" fontId="2" fillId="8" borderId="10" xfId="0" applyNumberFormat="1" applyFont="1" applyFill="1" applyBorder="1" applyAlignment="1">
      <alignment wrapText="1"/>
    </xf>
    <xf numFmtId="0" fontId="2" fillId="8" borderId="10" xfId="0" applyNumberFormat="1" applyFont="1" applyFill="1" applyBorder="1" applyAlignment="1" applyProtection="1"/>
    <xf numFmtId="0" fontId="2" fillId="8" borderId="10" xfId="0" applyNumberFormat="1" applyFont="1" applyFill="1" applyBorder="1" applyAlignment="1" applyProtection="1">
      <protection locked="0"/>
    </xf>
    <xf numFmtId="0" fontId="2" fillId="8" borderId="10" xfId="0" applyNumberFormat="1" applyFont="1" applyFill="1" applyBorder="1" applyAlignment="1" applyProtection="1">
      <alignment horizontal="left"/>
    </xf>
    <xf numFmtId="164" fontId="2" fillId="8" borderId="22" xfId="0" applyNumberFormat="1" applyFont="1" applyFill="1" applyBorder="1" applyAlignment="1"/>
    <xf numFmtId="2" fontId="2" fillId="11" borderId="10" xfId="0" applyNumberFormat="1" applyFont="1" applyFill="1" applyBorder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7" xfId="0" applyFont="1" applyBorder="1" applyProtection="1">
      <protection locked="0"/>
    </xf>
    <xf numFmtId="171" fontId="0" fillId="0" borderId="10" xfId="0" applyNumberFormat="1" applyBorder="1" applyAlignment="1">
      <alignment wrapText="1"/>
    </xf>
    <xf numFmtId="2" fontId="2" fillId="12" borderId="10" xfId="0" applyNumberFormat="1" applyFont="1" applyFill="1" applyBorder="1" applyAlignment="1">
      <alignment horizontal="right"/>
    </xf>
    <xf numFmtId="2" fontId="2" fillId="13" borderId="10" xfId="0" applyNumberFormat="1" applyFont="1" applyFill="1" applyBorder="1" applyAlignment="1">
      <alignment horizontal="right"/>
    </xf>
    <xf numFmtId="2" fontId="2" fillId="14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 wrapText="1"/>
    </xf>
    <xf numFmtId="166" fontId="7" fillId="5" borderId="10" xfId="0" applyNumberFormat="1" applyFont="1" applyFill="1" applyBorder="1" applyAlignment="1">
      <alignment wrapText="1"/>
    </xf>
    <xf numFmtId="2" fontId="2" fillId="10" borderId="10" xfId="0" applyNumberFormat="1" applyFont="1" applyFill="1" applyBorder="1" applyAlignment="1">
      <alignment horizontal="right"/>
    </xf>
    <xf numFmtId="0" fontId="2" fillId="5" borderId="10" xfId="0" applyNumberFormat="1" applyFont="1" applyFill="1" applyBorder="1" applyAlignment="1" applyProtection="1"/>
    <xf numFmtId="0" fontId="2" fillId="5" borderId="10" xfId="0" applyNumberFormat="1" applyFont="1" applyFill="1" applyBorder="1" applyAlignment="1" applyProtection="1">
      <protection locked="0"/>
    </xf>
    <xf numFmtId="0" fontId="2" fillId="5" borderId="10" xfId="0" applyNumberFormat="1" applyFont="1" applyFill="1" applyBorder="1" applyAlignment="1" applyProtection="1">
      <alignment horizontal="left"/>
    </xf>
    <xf numFmtId="164" fontId="2" fillId="5" borderId="22" xfId="0" applyNumberFormat="1" applyFont="1" applyFill="1" applyBorder="1" applyAlignment="1"/>
    <xf numFmtId="0" fontId="2" fillId="15" borderId="10" xfId="0" applyNumberFormat="1" applyFont="1" applyFill="1" applyBorder="1" applyAlignment="1" applyProtection="1"/>
    <xf numFmtId="0" fontId="2" fillId="15" borderId="10" xfId="0" applyNumberFormat="1" applyFont="1" applyFill="1" applyBorder="1" applyAlignment="1" applyProtection="1">
      <protection locked="0"/>
    </xf>
    <xf numFmtId="0" fontId="2" fillId="15" borderId="10" xfId="0" applyNumberFormat="1" applyFont="1" applyFill="1" applyBorder="1" applyAlignment="1" applyProtection="1">
      <alignment horizontal="left"/>
    </xf>
    <xf numFmtId="164" fontId="2" fillId="15" borderId="22" xfId="0" applyNumberFormat="1" applyFont="1" applyFill="1" applyBorder="1" applyAlignment="1"/>
    <xf numFmtId="1" fontId="2" fillId="2" borderId="10" xfId="0" applyNumberFormat="1" applyFont="1" applyFill="1" applyBorder="1" applyAlignment="1">
      <alignment horizontal="right"/>
    </xf>
    <xf numFmtId="22" fontId="2" fillId="2" borderId="10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 wrapText="1"/>
    </xf>
    <xf numFmtId="22" fontId="2" fillId="2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9">
    <cellStyle name="Currency" xfId="1" builtinId="4"/>
    <cellStyle name="DataPilot Category" xfId="2"/>
    <cellStyle name="DataPilot Corner" xfId="3"/>
    <cellStyle name="DataPilot Field" xfId="4"/>
    <cellStyle name="DataPilot Result" xfId="5"/>
    <cellStyle name="DataPilot Title" xfId="6"/>
    <cellStyle name="DataPilot Value" xfId="7"/>
    <cellStyle name="Normal" xfId="0" builtinId="0"/>
    <cellStyle name="Percent" xfId="8" builtinId="5"/>
  </cellStyles>
  <dxfs count="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FFFFCC"/>
      <color rgb="FFFFFF99"/>
      <color rgb="FF99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Run 2014-2 Downtime by System 
May 28 - August 26, 2014
 Scheduled User Time =  1776 hours     
User downtime=  43.35 hours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2014-2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Safety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UES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Stats!$B$15:$Q$15</c:f>
              <c:numCache>
                <c:formatCode>0.0%</c:formatCode>
                <c:ptCount val="16"/>
                <c:pt idx="0">
                  <c:v>2.8810060060562603E-3</c:v>
                </c:pt>
                <c:pt idx="1">
                  <c:v>1.4451951951864554E-3</c:v>
                </c:pt>
                <c:pt idx="2">
                  <c:v>4.2229729729729732E-3</c:v>
                </c:pt>
                <c:pt idx="3">
                  <c:v>6.1280030030182982E-3</c:v>
                </c:pt>
                <c:pt idx="4">
                  <c:v>2.2428678679028272E-3</c:v>
                </c:pt>
                <c:pt idx="5">
                  <c:v>0</c:v>
                </c:pt>
                <c:pt idx="6">
                  <c:v>7.9767267271637211E-4</c:v>
                </c:pt>
                <c:pt idx="7">
                  <c:v>9.478228227660136E-4</c:v>
                </c:pt>
                <c:pt idx="8">
                  <c:v>0</c:v>
                </c:pt>
                <c:pt idx="9">
                  <c:v>5.3490990998201397E-4</c:v>
                </c:pt>
                <c:pt idx="10">
                  <c:v>0</c:v>
                </c:pt>
                <c:pt idx="11">
                  <c:v>0</c:v>
                </c:pt>
                <c:pt idx="12">
                  <c:v>5.3490990998201397E-4</c:v>
                </c:pt>
                <c:pt idx="14">
                  <c:v>4.1197447447032303E-3</c:v>
                </c:pt>
                <c:pt idx="15">
                  <c:v>5.0675675673709196E-4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Safety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UES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Stats!$B$16:$Q$16</c:f>
              <c:numCache>
                <c:formatCode>0.00%</c:formatCode>
                <c:ptCount val="16"/>
                <c:pt idx="0">
                  <c:v>5.4000000000000003E-3</c:v>
                </c:pt>
                <c:pt idx="1">
                  <c:v>1.2000000000000001E-3</c:v>
                </c:pt>
                <c:pt idx="2">
                  <c:v>5.4000000000000003E-3</c:v>
                </c:pt>
                <c:pt idx="3">
                  <c:v>3.0000000000000001E-3</c:v>
                </c:pt>
                <c:pt idx="4">
                  <c:v>2.8E-3</c:v>
                </c:pt>
                <c:pt idx="5">
                  <c:v>2.8E-3</c:v>
                </c:pt>
                <c:pt idx="6">
                  <c:v>3.6000000000000003E-3</c:v>
                </c:pt>
                <c:pt idx="7">
                  <c:v>1.2000000000000001E-3</c:v>
                </c:pt>
                <c:pt idx="8">
                  <c:v>0</c:v>
                </c:pt>
                <c:pt idx="9">
                  <c:v>6.0000000000000006E-4</c:v>
                </c:pt>
                <c:pt idx="10">
                  <c:v>6.0000000000000006E-4</c:v>
                </c:pt>
                <c:pt idx="11">
                  <c:v>1.8000000000000002E-3</c:v>
                </c:pt>
                <c:pt idx="12">
                  <c:v>1.8000000000000002E-3</c:v>
                </c:pt>
                <c:pt idx="13">
                  <c:v>1.8000000000000002E-3</c:v>
                </c:pt>
                <c:pt idx="14">
                  <c:v>1.2000000000000001E-3</c:v>
                </c:pt>
                <c:pt idx="15">
                  <c:v>6.0000000000000006E-4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21824"/>
        <c:axId val="95823360"/>
      </c:barChart>
      <c:catAx>
        <c:axId val="958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139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82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823360"/>
        <c:scaling>
          <c:orientation val="minMax"/>
          <c:max val="1.4999999999999999E-2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8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Scheduled User Time</a:t>
                </a:r>
              </a:p>
            </c:rich>
          </c:tx>
          <c:layout>
            <c:manualLayout>
              <c:xMode val="edge"/>
              <c:yMode val="edge"/>
              <c:x val="1.093782546031708E-2"/>
              <c:y val="5.452318460192475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821824"/>
        <c:crosses val="autoZero"/>
        <c:crossBetween val="between"/>
        <c:majorUnit val="2.5000000000000001E-3"/>
        <c:minorUnit val="5.0000000000000001E-4"/>
      </c:valAx>
      <c:spPr>
        <a:gradFill rotWithShape="0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01941817440379"/>
          <c:y val="0.50480743828590058"/>
          <c:w val="0.20747837594177349"/>
          <c:h val="2.841361741547010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4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Run 2014-2 Faults Per Day By System</a:t>
            </a:r>
          </a:p>
        </c:rich>
      </c:tx>
      <c:layout>
        <c:manualLayout>
          <c:xMode val="edge"/>
          <c:yMode val="edge"/>
          <c:x val="0.20515467691744463"/>
          <c:y val="2.4000032782787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5616134701378"/>
          <c:y val="0.15863435793454753"/>
          <c:w val="0.83819073100029229"/>
          <c:h val="0.707708261043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2014-2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Safety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Stats!$B$22:$Q$22</c:f>
              <c:numCache>
                <c:formatCode>General</c:formatCode>
                <c:ptCount val="16"/>
                <c:pt idx="0" formatCode="0.0">
                  <c:v>5.540645831530408E-2</c:v>
                </c:pt>
                <c:pt idx="1">
                  <c:v>2.770322915765204E-2</c:v>
                </c:pt>
                <c:pt idx="2" formatCode="0.00">
                  <c:v>8.310968747295612E-2</c:v>
                </c:pt>
                <c:pt idx="3" formatCode="0.00">
                  <c:v>4.155484373647806E-2</c:v>
                </c:pt>
                <c:pt idx="4" formatCode="0.0">
                  <c:v>4.155484373647806E-2</c:v>
                </c:pt>
                <c:pt idx="5" formatCode="0.0">
                  <c:v>0</c:v>
                </c:pt>
                <c:pt idx="6" formatCode="0.0">
                  <c:v>2.770322915765204E-2</c:v>
                </c:pt>
                <c:pt idx="7" formatCode="0.00">
                  <c:v>1.385161457882602E-2</c:v>
                </c:pt>
                <c:pt idx="8" formatCode="0.00">
                  <c:v>0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1.385161457882602E-2</c:v>
                </c:pt>
                <c:pt idx="13" formatCode="0.0">
                  <c:v>0</c:v>
                </c:pt>
                <c:pt idx="14" formatCode="0.0">
                  <c:v>1.385161457882602E-2</c:v>
                </c:pt>
                <c:pt idx="15" formatCode="0.0">
                  <c:v>1.385161457882602E-2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Safety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Stats!$B$23:$Q$23</c:f>
              <c:numCache>
                <c:formatCode>0.00</c:formatCode>
                <c:ptCount val="16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3.5000000000000003E-2</c:v>
                </c:pt>
                <c:pt idx="5">
                  <c:v>3.5000000000000003E-2</c:v>
                </c:pt>
                <c:pt idx="6">
                  <c:v>0.06</c:v>
                </c:pt>
                <c:pt idx="7">
                  <c:v>0.02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50944"/>
        <c:axId val="103252736"/>
      </c:barChart>
      <c:catAx>
        <c:axId val="1032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2527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3252736"/>
        <c:scaling>
          <c:orientation val="minMax"/>
          <c:max val="0.1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99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Faults/Day</a:t>
                </a:r>
              </a:p>
            </c:rich>
          </c:tx>
          <c:layout>
            <c:manualLayout>
              <c:xMode val="edge"/>
              <c:yMode val="edge"/>
              <c:x val="7.9074547312557933E-3"/>
              <c:y val="0.408585893976367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9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250944"/>
        <c:crosses val="autoZero"/>
        <c:crossBetween val="between"/>
      </c:valAx>
      <c:spPr>
        <a:gradFill rotWithShape="0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76403031993323"/>
          <c:y val="0.97496608005966467"/>
          <c:w val="0.11260024127956003"/>
          <c:h val="1.960492643337619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110</xdr:row>
      <xdr:rowOff>76200</xdr:rowOff>
    </xdr:from>
    <xdr:to>
      <xdr:col>11</xdr:col>
      <xdr:colOff>85725</xdr:colOff>
      <xdr:row>111</xdr:row>
      <xdr:rowOff>85725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8896350" y="18230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66</xdr:row>
      <xdr:rowOff>85725</xdr:rowOff>
    </xdr:from>
    <xdr:to>
      <xdr:col>11</xdr:col>
      <xdr:colOff>85725</xdr:colOff>
      <xdr:row>67</xdr:row>
      <xdr:rowOff>104775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8896350" y="109347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 macro="">
      <xdr:nvGraphicFramePr>
        <xdr:cNvPr id="3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 macro="">
      <xdr:nvGraphicFramePr>
        <xdr:cNvPr id="4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/2011Fy/reliability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0"/>
      <sheetData sheetId="1">
        <row r="7">
          <cell r="B7">
            <v>5.4000000000000003E-3</v>
          </cell>
          <cell r="F7">
            <v>0.12</v>
          </cell>
        </row>
        <row r="8">
          <cell r="B8">
            <v>1.2000000000000001E-3</v>
          </cell>
          <cell r="F8">
            <v>0.03</v>
          </cell>
        </row>
        <row r="9">
          <cell r="B9">
            <v>5.4000000000000003E-3</v>
          </cell>
        </row>
        <row r="10">
          <cell r="B10">
            <v>3.0000000000000001E-3</v>
          </cell>
        </row>
        <row r="11">
          <cell r="B11">
            <v>1.2000000000000001E-3</v>
          </cell>
        </row>
        <row r="16">
          <cell r="B16">
            <v>3.6000000000000003E-3</v>
          </cell>
        </row>
        <row r="18">
          <cell r="B18">
            <v>1.2000000000000001E-3</v>
          </cell>
        </row>
        <row r="19">
          <cell r="B19">
            <v>0</v>
          </cell>
        </row>
        <row r="20">
          <cell r="B20">
            <v>6.0000000000000006E-4</v>
          </cell>
        </row>
        <row r="24">
          <cell r="B24">
            <v>6.0000000000000006E-4</v>
          </cell>
        </row>
        <row r="25">
          <cell r="B25">
            <v>1.8000000000000002E-3</v>
          </cell>
        </row>
        <row r="27">
          <cell r="B27">
            <v>1.8000000000000002E-3</v>
          </cell>
        </row>
        <row r="28">
          <cell r="B28">
            <v>6.0000000000000006E-4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lix" refreshedDate="41145.510509953703" createdVersion="4" refreshedVersion="4" recordCount="39">
  <cacheSource type="worksheet">
    <worksheetSource ref="A5:T65" sheet="Main Data"/>
  </cacheSource>
  <cacheFields count="20">
    <cacheField name="Fill #" numFmtId="0">
      <sharedItems containsString="0" containsBlank="1" containsNumber="1" containsInteger="1" minValue="1" maxValue="27"/>
    </cacheField>
    <cacheField name="Start" numFmtId="0">
      <sharedItems containsNonDate="0" containsDate="1" containsString="0" containsBlank="1" minDate="2012-05-30T08:00:00" maxDate="2012-08-18T18:40:00"/>
    </cacheField>
    <cacheField name="End" numFmtId="0">
      <sharedItems containsDate="1" containsString="0" containsBlank="1" containsMixedTypes="1" minDate="2012-06-05T08:00:00" maxDate="2012-08-23T08:00:00"/>
    </cacheField>
    <cacheField name="Length" numFmtId="2">
      <sharedItems containsString="0" containsBlank="1" containsNumber="1" minValue="8.4000000001396984" maxValue="190.70000000012806"/>
    </cacheField>
    <cacheField name="Loss _x000a_Reason" numFmtId="0">
      <sharedItems containsBlank="1"/>
    </cacheField>
    <cacheField name="DIN #" numFmtId="0">
      <sharedItems containsString="0" containsBlank="1" containsNumber="1" containsInteger="1" minValue="105872" maxValue="105895"/>
    </cacheField>
    <cacheField name="Audit" numFmtId="164">
      <sharedItems containsNonDate="0" containsString="0" containsBlank="1"/>
    </cacheField>
    <cacheField name="Start2" numFmtId="0">
      <sharedItems containsNonDate="0" containsDate="1" containsString="0" containsBlank="1" minDate="2012-06-08T17:17:00" maxDate="2012-08-18T17:23:00"/>
    </cacheField>
    <cacheField name="End2" numFmtId="0">
      <sharedItems containsNonDate="0" containsDate="1" containsString="0" containsBlank="1" minDate="2012-06-08T18:20:00" maxDate="2012-08-18T18:40:00"/>
    </cacheField>
    <cacheField name="User _x000a_Length" numFmtId="2">
      <sharedItems containsString="0" containsBlank="1" containsNumber="1" minValue="0" maxValue="5.6000000000931323"/>
    </cacheField>
    <cacheField name="System_x000a_Length" numFmtId="2">
      <sharedItems containsString="0" containsBlank="1" containsNumber="1" minValue="0" maxValue="5.6000000000931323"/>
    </cacheField>
    <cacheField name="Cause" numFmtId="0">
      <sharedItems containsBlank="1" count="16">
        <m/>
        <s v="ComEd"/>
        <s v="PS"/>
        <s v="RF"/>
        <s v="MOM"/>
        <s v="FMS"/>
        <s v="SI"/>
        <s v="OTH" u="1"/>
        <s v="CTL" u="1"/>
        <s v="OPS" u="1"/>
        <s v="ESH" u="1"/>
        <s v="DIA" u="1"/>
        <s v="UNK" u="1"/>
        <s v="Weather" u="1"/>
        <s v="FMS-H2O" u="1"/>
        <s v="AOP" u="1"/>
      </sharedItems>
    </cacheField>
    <cacheField name="System" numFmtId="0">
      <sharedItems containsBlank="1"/>
    </cacheField>
    <cacheField name="Group" numFmtId="0">
      <sharedItems containsBlank="1"/>
    </cacheField>
    <cacheField name="Type" numFmtId="0">
      <sharedItems containsBlank="1" count="5">
        <s v="Scheduled"/>
        <m/>
        <s v="Store Lost"/>
        <s v="Inhibits Beam to User"/>
        <s v="Beam Dump" u="1"/>
      </sharedItems>
    </cacheField>
    <cacheField name="Description" numFmtId="164">
      <sharedItems containsBlank="1"/>
    </cacheField>
    <cacheField name="Store Lost" numFmtId="0">
      <sharedItems containsBlank="1" containsMixedTypes="1" containsNumber="1" containsInteger="1" minValue="1" maxValue="1"/>
    </cacheField>
    <cacheField name="Intention. Dump" numFmtId="0">
      <sharedItems containsBlank="1" containsMixedTypes="1" containsNumber="1" containsInteger="1" minValue="1" maxValue="1"/>
    </cacheField>
    <cacheField name="Inhibits Beam" numFmtId="0">
      <sharedItems containsBlank="1" containsMixedTypes="1" containsNumber="1" containsInteger="1" minValue="1" maxValue="1"/>
    </cacheField>
    <cacheField name="TOTAL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lood, Randy J." refreshedDate="41877.456350925924" createdVersion="4" refreshedVersion="4" minRefreshableVersion="3" recordCount="59">
  <cacheSource type="worksheet">
    <worksheetSource ref="A5:T64" sheet="Main Data"/>
  </cacheSource>
  <cacheFields count="20">
    <cacheField name="Fill #" numFmtId="0">
      <sharedItems containsString="0" containsBlank="1" containsNumber="1" containsInteger="1" minValue="1" maxValue="39"/>
    </cacheField>
    <cacheField name="Start" numFmtId="0">
      <sharedItems containsNonDate="0" containsDate="1" containsString="0" containsBlank="1" minDate="2014-05-28T08:00:00" maxDate="2014-08-22T03:55:00"/>
    </cacheField>
    <cacheField name="End" numFmtId="0">
      <sharedItems containsNonDate="0" containsDate="1" containsString="0" containsBlank="1" minDate="2014-05-29T02:34:00" maxDate="2014-08-26T08:00:00"/>
    </cacheField>
    <cacheField name="Length" numFmtId="2">
      <sharedItems containsString="0" containsBlank="1" containsNumber="1" minValue="0" maxValue="207.3666666666395"/>
    </cacheField>
    <cacheField name="Loss _x000a_Reason" numFmtId="0">
      <sharedItems containsBlank="1"/>
    </cacheField>
    <cacheField name="DIN #" numFmtId="0">
      <sharedItems containsString="0" containsBlank="1" containsNumber="1" containsInteger="1" minValue="106155" maxValue="106238"/>
    </cacheField>
    <cacheField name="Audit" numFmtId="0">
      <sharedItems containsNonDate="0" containsString="0" containsBlank="1"/>
    </cacheField>
    <cacheField name="Start2" numFmtId="0">
      <sharedItems containsNonDate="0" containsDate="1" containsString="0" containsBlank="1" minDate="2014-05-29T02:34:00" maxDate="2014-08-22T02:54:00"/>
    </cacheField>
    <cacheField name="End2" numFmtId="0">
      <sharedItems containsNonDate="0" containsDate="1" containsString="0" containsBlank="1" minDate="2014-05-29T03:14:00" maxDate="2014-08-22T03:55:00"/>
    </cacheField>
    <cacheField name="User _x000a_Length" numFmtId="2">
      <sharedItems containsString="0" containsBlank="1" containsNumber="1" minValue="0" maxValue="8.6333333333604969"/>
    </cacheField>
    <cacheField name="System_x000a_Length" numFmtId="2">
      <sharedItems containsString="0" containsBlank="1" containsNumber="1" minValue="0" maxValue="8.6333333333604969"/>
    </cacheField>
    <cacheField name="Cause" numFmtId="0">
      <sharedItems containsBlank="1"/>
    </cacheField>
    <cacheField name="System" numFmtId="0">
      <sharedItems containsBlank="1"/>
    </cacheField>
    <cacheField name="Group" numFmtId="0">
      <sharedItems containsBlank="1" count="13">
        <s v="AOP"/>
        <m/>
        <s v="SI"/>
        <s v="DIA"/>
        <s v="RF"/>
        <s v="PS"/>
        <s v="UNK"/>
        <s v="Weather"/>
        <s v="IT"/>
        <s v="FMS"/>
        <s v="UES"/>
        <s v="CTL"/>
        <s v="MOM"/>
      </sharedItems>
    </cacheField>
    <cacheField name="Type" numFmtId="0">
      <sharedItems containsBlank="1"/>
    </cacheField>
    <cacheField name="Description" numFmtId="164">
      <sharedItems containsBlank="1"/>
    </cacheField>
    <cacheField name="Store Lost" numFmtId="0">
      <sharedItems containsBlank="1" containsMixedTypes="1" containsNumber="1" containsInteger="1" minValue="1" maxValue="1"/>
    </cacheField>
    <cacheField name="Intention. Dump" numFmtId="0">
      <sharedItems containsMixedTypes="1" containsNumber="1" containsInteger="1" minValue="1" maxValue="1"/>
    </cacheField>
    <cacheField name="Inhibits Beam" numFmtId="0">
      <sharedItems containsMixedTypes="1" containsNumber="1" containsInteger="1" minValue="1" maxValue="1"/>
    </cacheField>
    <cacheField name="TOTAL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1"/>
    <d v="2012-05-30T08:00:00"/>
    <d v="2012-06-05T08:00:00"/>
    <n v="144"/>
    <s v="  Int Dump: End of Period"/>
    <m/>
    <m/>
    <m/>
    <m/>
    <n v="0"/>
    <n v="0"/>
    <x v="0"/>
    <m/>
    <m/>
    <x v="0"/>
    <m/>
    <s v=""/>
    <n v="1"/>
    <s v=""/>
    <n v="1"/>
  </r>
  <r>
    <m/>
    <m/>
    <m/>
    <n v="144"/>
    <m/>
    <m/>
    <m/>
    <m/>
    <m/>
    <n v="0"/>
    <n v="0"/>
    <x v="0"/>
    <m/>
    <m/>
    <x v="1"/>
    <m/>
    <s v=""/>
    <s v=""/>
    <s v=""/>
    <n v="0"/>
  </r>
  <r>
    <n v="2"/>
    <d v="2012-06-06T08:00:00"/>
    <d v="2012-06-08T17:17:00"/>
    <n v="57.283333333209157"/>
    <s v="Power Sag [Com Ed]"/>
    <n v="105872"/>
    <m/>
    <d v="2012-06-08T17:17:00"/>
    <d v="2012-06-08T18:20:00"/>
    <n v="1.0500000001047738"/>
    <n v="1.0500000001047738"/>
    <x v="1"/>
    <s v="ComEd"/>
    <s v="Other"/>
    <x v="2"/>
    <m/>
    <n v="1"/>
    <s v=""/>
    <s v=""/>
    <n v="1"/>
  </r>
  <r>
    <n v="3"/>
    <d v="2012-06-08T18:20:00"/>
    <d v="2012-06-12T08:00:00"/>
    <n v="85.666666666686069"/>
    <s v="  Int Dump: End of Period"/>
    <m/>
    <m/>
    <m/>
    <m/>
    <n v="0"/>
    <n v="0"/>
    <x v="0"/>
    <m/>
    <m/>
    <x v="0"/>
    <m/>
    <s v=""/>
    <n v="1"/>
    <s v=""/>
    <n v="1"/>
  </r>
  <r>
    <m/>
    <m/>
    <m/>
    <n v="142.94999999989523"/>
    <m/>
    <m/>
    <m/>
    <m/>
    <m/>
    <n v="1.0500000001047738"/>
    <n v="1.0500000001047738"/>
    <x v="0"/>
    <m/>
    <m/>
    <x v="1"/>
    <m/>
    <s v=""/>
    <s v=""/>
    <s v=""/>
    <n v="0"/>
  </r>
  <r>
    <n v="4"/>
    <d v="2012-06-13T08:00:00"/>
    <d v="2012-06-14T11:43:00"/>
    <n v="27.716666666558012"/>
    <s v="IEX Intlk reset [PS]"/>
    <n v="105873"/>
    <m/>
    <d v="2012-06-14T11:43:00"/>
    <d v="2012-06-14T12:00:00"/>
    <n v="0.28333333338377997"/>
    <n v="0.28333333338377997"/>
    <x v="2"/>
    <s v="PS"/>
    <s v="PS"/>
    <x v="2"/>
    <m/>
    <n v="1"/>
    <s v=""/>
    <s v=""/>
    <n v="1"/>
  </r>
  <r>
    <n v="5"/>
    <d v="2012-06-14T12:00:00"/>
    <d v="2012-06-19T08:00:00"/>
    <n v="116.00000000005821"/>
    <s v="  Int Dump: End of Period"/>
    <m/>
    <m/>
    <m/>
    <m/>
    <n v="0"/>
    <n v="0"/>
    <x v="0"/>
    <m/>
    <m/>
    <x v="0"/>
    <m/>
    <s v=""/>
    <n v="1"/>
    <s v=""/>
    <n v="1"/>
  </r>
  <r>
    <m/>
    <m/>
    <m/>
    <n v="143.71666666661622"/>
    <m/>
    <m/>
    <m/>
    <m/>
    <m/>
    <n v="0.28333333338377997"/>
    <n v="0.28333333338377997"/>
    <x v="0"/>
    <m/>
    <m/>
    <x v="1"/>
    <m/>
    <s v=""/>
    <s v=""/>
    <s v=""/>
    <n v="0"/>
  </r>
  <r>
    <n v="6"/>
    <d v="2012-06-20T08:00:00"/>
    <n v="41084.431250000001"/>
    <n v="98.349999999976717"/>
    <s v="S21B:S2 glitch[PS]       "/>
    <n v="105877"/>
    <m/>
    <d v="2012-06-24T10:21:00"/>
    <d v="2012-06-24T12:21:00"/>
    <n v="1.9999999998835847"/>
    <n v="1.9999999998835847"/>
    <x v="2"/>
    <s v="PS"/>
    <s v="PS"/>
    <x v="2"/>
    <s v="two subsequent beam losses"/>
    <n v="1"/>
    <s v=""/>
    <s v=""/>
    <n v="1"/>
  </r>
  <r>
    <n v="9"/>
    <d v="2012-06-24T12:21:00"/>
    <d v="2012-06-25T08:00:00"/>
    <n v="19.650000000139698"/>
    <s v="  Int Dump: End of Period"/>
    <m/>
    <m/>
    <m/>
    <m/>
    <n v="0"/>
    <n v="0"/>
    <x v="0"/>
    <m/>
    <m/>
    <x v="0"/>
    <m/>
    <s v=""/>
    <n v="1"/>
    <s v=""/>
    <n v="1"/>
  </r>
  <r>
    <m/>
    <m/>
    <m/>
    <n v="118.00000000011642"/>
    <m/>
    <m/>
    <m/>
    <m/>
    <m/>
    <n v="1.9999999998835847"/>
    <n v="1.9999999998835847"/>
    <x v="0"/>
    <m/>
    <m/>
    <x v="1"/>
    <m/>
    <s v=""/>
    <s v=""/>
    <s v=""/>
    <n v="0"/>
  </r>
  <r>
    <n v="10"/>
    <d v="2012-06-27T08:00:00"/>
    <d v="2012-07-04T08:00:00"/>
    <n v="168"/>
    <s v="  Int Dump: End of Period"/>
    <m/>
    <m/>
    <m/>
    <m/>
    <n v="0"/>
    <n v="0"/>
    <x v="0"/>
    <m/>
    <m/>
    <x v="0"/>
    <m/>
    <s v=""/>
    <n v="1"/>
    <s v=""/>
    <n v="1"/>
  </r>
  <r>
    <m/>
    <m/>
    <m/>
    <n v="168"/>
    <m/>
    <m/>
    <m/>
    <m/>
    <m/>
    <n v="0"/>
    <n v="0"/>
    <x v="0"/>
    <m/>
    <m/>
    <x v="1"/>
    <m/>
    <s v=""/>
    <s v=""/>
    <s v=""/>
    <n v="0"/>
  </r>
  <r>
    <n v="11"/>
    <d v="2012-07-05T08:00:00"/>
    <d v="2012-07-09T08:00:00"/>
    <n v="96"/>
    <s v="  Int Dump: End of Period"/>
    <m/>
    <m/>
    <m/>
    <m/>
    <n v="0"/>
    <n v="0"/>
    <x v="0"/>
    <m/>
    <m/>
    <x v="0"/>
    <m/>
    <s v=""/>
    <n v="1"/>
    <s v=""/>
    <n v="1"/>
  </r>
  <r>
    <m/>
    <m/>
    <m/>
    <n v="96"/>
    <m/>
    <m/>
    <m/>
    <m/>
    <m/>
    <n v="0"/>
    <n v="0"/>
    <x v="0"/>
    <m/>
    <m/>
    <x v="1"/>
    <m/>
    <s v=""/>
    <s v=""/>
    <s v=""/>
    <n v="0"/>
  </r>
  <r>
    <n v="12"/>
    <d v="2012-07-11T08:00:00"/>
    <d v="2012-07-17T08:00:00"/>
    <n v="144"/>
    <s v="  Int Dump: End of Period"/>
    <m/>
    <m/>
    <m/>
    <m/>
    <n v="0"/>
    <n v="0"/>
    <x v="0"/>
    <m/>
    <m/>
    <x v="0"/>
    <m/>
    <s v=""/>
    <n v="1"/>
    <s v=""/>
    <n v="1"/>
  </r>
  <r>
    <m/>
    <m/>
    <m/>
    <n v="144"/>
    <m/>
    <m/>
    <m/>
    <m/>
    <m/>
    <n v="0"/>
    <n v="0"/>
    <x v="0"/>
    <m/>
    <m/>
    <x v="1"/>
    <m/>
    <s v=""/>
    <s v=""/>
    <s v=""/>
    <n v="0"/>
  </r>
  <r>
    <n v="13"/>
    <d v="2012-07-18T08:00:00"/>
    <d v="2012-07-22T00:07:00"/>
    <n v="88.116666666639503"/>
    <s v="S25B:S2 PS glitch [PS]   "/>
    <n v="105890"/>
    <m/>
    <d v="2012-07-22T00:07:00"/>
    <d v="2012-07-22T00:26:00"/>
    <n v="0.31666666665114462"/>
    <n v="0.31666666665114462"/>
    <x v="2"/>
    <s v="PS"/>
    <s v="PS"/>
    <x v="2"/>
    <m/>
    <n v="1"/>
    <s v=""/>
    <s v=""/>
    <n v="1"/>
  </r>
  <r>
    <n v="14"/>
    <d v="2012-07-22T00:26:00"/>
    <d v="2012-07-23T03:06:00"/>
    <n v="26.666666666627862"/>
    <s v="RF2 crowbar [RF]         "/>
    <n v="105891"/>
    <m/>
    <d v="2012-07-23T03:06:00"/>
    <d v="2012-07-23T06:27:00"/>
    <n v="3.3500000000931323"/>
    <n v="3.3500000000931323"/>
    <x v="3"/>
    <s v="RF"/>
    <s v="RF"/>
    <x v="2"/>
    <s v="Investigation, WG switch, intlk reset [RF]"/>
    <n v="1"/>
    <s v=""/>
    <s v=""/>
    <n v="1"/>
  </r>
  <r>
    <n v="15"/>
    <d v="2012-07-23T06:27:00"/>
    <d v="2012-07-23T15:20:00"/>
    <n v="8.8833333333022892"/>
    <s v="RF pump switch[MOM]      "/>
    <n v="105892"/>
    <m/>
    <d v="2012-07-23T15:20:00"/>
    <d v="2012-07-23T15:46:00"/>
    <n v="0.43333333334885538"/>
    <n v="0.43333333334885538"/>
    <x v="4"/>
    <s v="MOM"/>
    <s v="MOM"/>
    <x v="2"/>
    <m/>
    <n v="1"/>
    <s v=""/>
    <s v=""/>
    <n v="1"/>
  </r>
  <r>
    <n v="16"/>
    <d v="2012-07-23T15:46:00"/>
    <d v="2012-07-24T08:00:00"/>
    <n v="16.233333333337214"/>
    <s v="  Int Dump: End of Period"/>
    <m/>
    <m/>
    <m/>
    <m/>
    <n v="0"/>
    <n v="0"/>
    <x v="0"/>
    <m/>
    <m/>
    <x v="0"/>
    <m/>
    <s v=""/>
    <n v="1"/>
    <s v=""/>
    <n v="1"/>
  </r>
  <r>
    <m/>
    <m/>
    <m/>
    <n v="139.89999999990687"/>
    <m/>
    <m/>
    <m/>
    <m/>
    <m/>
    <n v="4.1000000000931323"/>
    <n v="4.1000000000931323"/>
    <x v="0"/>
    <m/>
    <m/>
    <x v="1"/>
    <m/>
    <s v=""/>
    <s v=""/>
    <s v=""/>
    <n v="0"/>
  </r>
  <r>
    <n v="17"/>
    <d v="2012-07-25T08:00:00"/>
    <d v="2012-07-27T13:00:00"/>
    <n v="52.999999999883585"/>
    <s v="Bldg450 DI H20 pump[FMS] "/>
    <n v="105893"/>
    <m/>
    <m/>
    <m/>
    <n v="0"/>
    <n v="0"/>
    <x v="0"/>
    <m/>
    <m/>
    <x v="1"/>
    <m/>
    <s v=""/>
    <s v=""/>
    <s v=""/>
    <n v="0"/>
  </r>
  <r>
    <m/>
    <m/>
    <m/>
    <m/>
    <m/>
    <m/>
    <m/>
    <d v="2012-07-27T13:00:00"/>
    <d v="2012-07-27T13:58:00"/>
    <n v="0.96666666667442769"/>
    <n v="0.96666666667442769"/>
    <x v="5"/>
    <s v="FMS"/>
    <s v="FMS"/>
    <x v="2"/>
    <m/>
    <n v="1"/>
    <s v=""/>
    <s v=""/>
    <n v="1"/>
  </r>
  <r>
    <m/>
    <m/>
    <m/>
    <m/>
    <m/>
    <m/>
    <m/>
    <d v="2012-07-27T13:58:00"/>
    <d v="2012-07-27T15:03:00"/>
    <n v="1.0833333333721384"/>
    <n v="1.0833333333721384"/>
    <x v="2"/>
    <s v="PS"/>
    <s v="PS"/>
    <x v="3"/>
    <s v="2 PS swapped during recovery"/>
    <s v=""/>
    <s v=""/>
    <n v="1"/>
    <n v="1"/>
  </r>
  <r>
    <n v="18"/>
    <d v="2012-07-27T15:03:00"/>
    <d v="2012-07-29T18:16:00"/>
    <n v="51.216666666674428"/>
    <s v="10BM PSS trip[SI]        "/>
    <n v="105894"/>
    <m/>
    <d v="2012-07-29T18:16:00"/>
    <d v="2012-07-29T19:00:00"/>
    <n v="0.73333333327900618"/>
    <n v="0.73333333327900618"/>
    <x v="6"/>
    <s v="SI"/>
    <s v="SI"/>
    <x v="2"/>
    <m/>
    <n v="1"/>
    <s v=""/>
    <s v=""/>
    <n v="1"/>
  </r>
  <r>
    <n v="19"/>
    <d v="2012-07-29T19:00:00"/>
    <d v="2012-07-30T21:36:00"/>
    <n v="26.600000000093132"/>
    <s v="RF3 Power Monitor Fault [RF]"/>
    <n v="105895"/>
    <m/>
    <d v="2012-07-30T21:36:00"/>
    <d v="2012-07-30T23:36:00"/>
    <n v="1.9999999998835847"/>
    <n v="1.9999999998835847"/>
    <x v="3"/>
    <s v="RF"/>
    <s v="RF"/>
    <x v="2"/>
    <m/>
    <n v="1"/>
    <s v=""/>
    <s v=""/>
    <n v="1"/>
  </r>
  <r>
    <n v="20"/>
    <d v="2012-07-30T23:36:00"/>
    <d v="2012-07-31T08:00:00"/>
    <n v="8.4000000001396984"/>
    <s v="  Int Dump: End of Period"/>
    <m/>
    <m/>
    <m/>
    <m/>
    <n v="0"/>
    <n v="0"/>
    <x v="0"/>
    <m/>
    <m/>
    <x v="0"/>
    <m/>
    <s v=""/>
    <n v="1"/>
    <s v=""/>
    <n v="1"/>
  </r>
  <r>
    <m/>
    <m/>
    <m/>
    <n v="139.21666666679084"/>
    <m/>
    <m/>
    <m/>
    <m/>
    <m/>
    <n v="4.783333333209157"/>
    <n v="4.783333333209157"/>
    <x v="0"/>
    <m/>
    <m/>
    <x v="1"/>
    <m/>
    <s v=""/>
    <s v=""/>
    <s v=""/>
    <n v="0"/>
  </r>
  <r>
    <n v="21"/>
    <d v="2012-08-01T08:00:00"/>
    <d v="2012-08-07T08:00:00"/>
    <n v="144"/>
    <s v="  Int Dump: End of Period"/>
    <m/>
    <m/>
    <m/>
    <m/>
    <n v="0"/>
    <n v="0"/>
    <x v="0"/>
    <m/>
    <m/>
    <x v="0"/>
    <m/>
    <s v=""/>
    <n v="1"/>
    <s v=""/>
    <n v="1"/>
  </r>
  <r>
    <m/>
    <m/>
    <m/>
    <n v="144"/>
    <m/>
    <m/>
    <m/>
    <m/>
    <m/>
    <n v="0"/>
    <n v="0"/>
    <x v="0"/>
    <m/>
    <m/>
    <x v="1"/>
    <m/>
    <s v=""/>
    <s v=""/>
    <s v=""/>
    <n v="0"/>
  </r>
  <r>
    <n v="22"/>
    <d v="2012-08-08T08:00:00"/>
    <d v="2012-08-09T14:05:00"/>
    <n v="30.083333333255723"/>
    <s v="13ID EPS trip[SI]        "/>
    <m/>
    <m/>
    <d v="2012-08-09T14:05:00"/>
    <d v="2012-08-09T15:23:00"/>
    <n v="1.3000000000465661"/>
    <n v="1.3000000000465661"/>
    <x v="6"/>
    <s v="SI"/>
    <s v="SI"/>
    <x v="2"/>
    <s v="reset/reboot PLC, refill"/>
    <n v="1"/>
    <s v=""/>
    <s v=""/>
    <n v="1"/>
  </r>
  <r>
    <n v="23"/>
    <d v="2012-08-09T15:23:00"/>
    <d v="2012-08-12T23:07:00"/>
    <n v="79.733333333220799"/>
    <s v="All S3&amp;4 PS tripped[PS]  "/>
    <m/>
    <m/>
    <d v="2012-08-12T23:07:00"/>
    <d v="2012-08-13T03:25:00"/>
    <n v="4.3000000000465661"/>
    <n v="4.3000000000465661"/>
    <x v="2"/>
    <s v="PS"/>
    <s v="PS"/>
    <x v="2"/>
    <m/>
    <n v="1"/>
    <s v=""/>
    <s v=""/>
    <n v="1"/>
  </r>
  <r>
    <n v="25"/>
    <d v="2012-08-13T03:25:00"/>
    <d v="2012-08-14T08:00:00"/>
    <n v="28.583333333430346"/>
    <s v="  Int Dump: End of Period"/>
    <m/>
    <m/>
    <m/>
    <m/>
    <n v="0"/>
    <n v="0"/>
    <x v="0"/>
    <m/>
    <m/>
    <x v="0"/>
    <m/>
    <m/>
    <n v="1"/>
    <s v=""/>
    <n v="1"/>
  </r>
  <r>
    <m/>
    <m/>
    <m/>
    <n v="138.39999999990687"/>
    <m/>
    <m/>
    <m/>
    <m/>
    <m/>
    <n v="5.6000000000931323"/>
    <n v="5.6000000000931323"/>
    <x v="0"/>
    <m/>
    <m/>
    <x v="1"/>
    <m/>
    <s v=""/>
    <s v=""/>
    <s v=""/>
    <n v="0"/>
  </r>
  <r>
    <n v="26"/>
    <d v="2012-08-15T08:01:00"/>
    <d v="2012-08-18T17:23:00"/>
    <n v="81.366666666814126"/>
    <s v="33BM PSS trip [SI]"/>
    <m/>
    <m/>
    <d v="2012-08-18T17:23:00"/>
    <d v="2012-08-18T18:40:00"/>
    <n v="1.2833333333255723"/>
    <n v="1.2833333333255723"/>
    <x v="6"/>
    <s v="SI"/>
    <s v="SI"/>
    <x v="2"/>
    <s v="two subsequent beam losses"/>
    <n v="1"/>
    <s v=""/>
    <s v=""/>
    <n v="1"/>
  </r>
  <r>
    <n v="27"/>
    <d v="2012-08-18T18:40:00"/>
    <d v="2012-08-23T08:00:00"/>
    <n v="109.33333333331393"/>
    <s v="  Int Dump: End of Period"/>
    <m/>
    <m/>
    <m/>
    <m/>
    <n v="0"/>
    <n v="0"/>
    <x v="0"/>
    <m/>
    <m/>
    <x v="0"/>
    <m/>
    <s v=""/>
    <n v="1"/>
    <s v=""/>
    <n v="1"/>
  </r>
  <r>
    <m/>
    <m/>
    <m/>
    <n v="190.70000000012806"/>
    <m/>
    <m/>
    <m/>
    <m/>
    <m/>
    <n v="1.2833333333255723"/>
    <n v="1.2833333333255723"/>
    <x v="0"/>
    <m/>
    <m/>
    <x v="1"/>
    <m/>
    <s v=""/>
    <s v=""/>
    <s v=""/>
    <n v="0"/>
  </r>
  <r>
    <m/>
    <m/>
    <m/>
    <m/>
    <m/>
    <m/>
    <m/>
    <m/>
    <m/>
    <m/>
    <m/>
    <x v="0"/>
    <m/>
    <m/>
    <x v="1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">
  <r>
    <n v="1"/>
    <d v="2014-05-28T08:00:00"/>
    <d v="2014-05-29T02:34:00"/>
    <n v="18.566666666592937"/>
    <s v="IOC recovery [CTL] "/>
    <n v="106155"/>
    <m/>
    <d v="2014-05-29T02:34:00"/>
    <d v="2014-05-29T03:14:00"/>
    <n v="0.66666666674427688"/>
    <n v="0.66666666674427688"/>
    <s v="AOP"/>
    <s v="AOP"/>
    <x v="0"/>
    <s v="Store Lost"/>
    <m/>
    <n v="1"/>
    <s v=""/>
    <s v=""/>
    <n v="1"/>
  </r>
  <r>
    <n v="2"/>
    <d v="2014-05-29T03:14:00"/>
    <d v="2014-06-01T12:57:00"/>
    <n v="81.716666666558012"/>
    <s v="11BM PSS fault[SI]"/>
    <n v="106157"/>
    <m/>
    <d v="2014-06-01T12:57:00"/>
    <d v="2014-06-01T14:46:00"/>
    <m/>
    <m/>
    <m/>
    <m/>
    <x v="1"/>
    <m/>
    <m/>
    <s v=""/>
    <s v=""/>
    <s v=""/>
    <n v="0"/>
  </r>
  <r>
    <m/>
    <m/>
    <m/>
    <m/>
    <m/>
    <m/>
    <m/>
    <d v="2014-06-01T12:57:00"/>
    <d v="2014-06-01T13:57:00"/>
    <n v="1.0000000001164153"/>
    <n v="1.0000000001164153"/>
    <s v="SI"/>
    <s v="SI"/>
    <x v="2"/>
    <s v="Store Lost"/>
    <m/>
    <n v="1"/>
    <s v=""/>
    <s v=""/>
    <n v="1"/>
  </r>
  <r>
    <m/>
    <m/>
    <m/>
    <m/>
    <m/>
    <m/>
    <m/>
    <d v="2014-06-01T13:57:00"/>
    <d v="2014-06-01T14:46:00"/>
    <n v="0.8166666665347293"/>
    <n v="0.8166666665347293"/>
    <s v="DIA"/>
    <s v="DIA"/>
    <x v="3"/>
    <s v="Inhibits Beam to User"/>
    <m/>
    <s v=""/>
    <s v=""/>
    <n v="1"/>
    <n v="1"/>
  </r>
  <r>
    <n v="3"/>
    <d v="2014-06-01T14:46:00"/>
    <d v="2014-06-03T08:00:00"/>
    <n v="41.233333333453629"/>
    <s v="Int Dump: End of Period "/>
    <m/>
    <m/>
    <m/>
    <m/>
    <n v="0"/>
    <n v="0"/>
    <m/>
    <m/>
    <x v="1"/>
    <s v="Scheduled"/>
    <m/>
    <m/>
    <n v="1"/>
    <s v=""/>
    <n v="1"/>
  </r>
  <r>
    <m/>
    <m/>
    <m/>
    <n v="141.51666666660458"/>
    <m/>
    <m/>
    <m/>
    <m/>
    <m/>
    <n v="2.4833333333954215"/>
    <n v="2.4833333333954215"/>
    <m/>
    <m/>
    <x v="1"/>
    <m/>
    <m/>
    <s v=""/>
    <s v=""/>
    <s v=""/>
    <n v="0"/>
  </r>
  <r>
    <n v="4"/>
    <d v="2014-06-04T08:00:00"/>
    <d v="2014-06-08T02:06:00"/>
    <n v="90.099999999976717"/>
    <s v="9BM PSS trip [SI]        "/>
    <n v="106162"/>
    <m/>
    <d v="2014-06-08T02:06:00"/>
    <d v="2014-06-08T03:17:00"/>
    <n v="1.1833333333488554"/>
    <n v="1.1833333333488554"/>
    <s v="SI"/>
    <s v="SI"/>
    <x v="2"/>
    <s v="Store Lost"/>
    <m/>
    <n v="1"/>
    <s v=""/>
    <s v=""/>
    <n v="1"/>
  </r>
  <r>
    <n v="5"/>
    <d v="2014-06-08T03:17:00"/>
    <d v="2014-06-10T08:00:00"/>
    <n v="52.716666666674428"/>
    <s v="Int Dump: End of Period "/>
    <m/>
    <m/>
    <m/>
    <m/>
    <n v="0"/>
    <n v="0"/>
    <m/>
    <m/>
    <x v="1"/>
    <s v="Scheduled"/>
    <m/>
    <m/>
    <n v="1"/>
    <s v=""/>
    <n v="1"/>
  </r>
  <r>
    <m/>
    <m/>
    <m/>
    <n v="142.81666666665114"/>
    <m/>
    <m/>
    <m/>
    <m/>
    <m/>
    <n v="1.1833333333488554"/>
    <n v="1.1833333333488554"/>
    <m/>
    <m/>
    <x v="1"/>
    <m/>
    <m/>
    <s v=""/>
    <s v=""/>
    <s v=""/>
    <n v="0"/>
  </r>
  <r>
    <m/>
    <m/>
    <m/>
    <n v="0"/>
    <s v="Unstable RF 3 LLRF[RF]"/>
    <n v="106167"/>
    <m/>
    <d v="2014-06-11T08:00:00"/>
    <d v="2014-06-11T09:25:00"/>
    <n v="1.4166666665696539"/>
    <n v="1.4166666665696539"/>
    <s v="RF"/>
    <s v="RF"/>
    <x v="4"/>
    <s v="Inhibits Beam to User"/>
    <m/>
    <s v=""/>
    <s v=""/>
    <n v="1"/>
    <n v="1"/>
  </r>
  <r>
    <n v="7"/>
    <d v="2014-06-11T09:25:00"/>
    <d v="2014-06-12T11:05:00"/>
    <n v="25.666666666686069"/>
    <s v="Unstable RF3 LLRF [RF]   "/>
    <n v="106169"/>
    <m/>
    <d v="2014-06-12T11:05:00"/>
    <d v="2014-06-12T12:48:00"/>
    <n v="1.7166666666744277"/>
    <n v="1.7166666666744277"/>
    <s v="RF"/>
    <s v="RF"/>
    <x v="4"/>
    <s v="Store Lost"/>
    <m/>
    <n v="1"/>
    <s v=""/>
    <s v=""/>
    <n v="1"/>
  </r>
  <r>
    <n v="8"/>
    <d v="2014-06-12T12:48:00"/>
    <d v="2014-06-12T16:30:00"/>
    <n v="3.7000000000116415"/>
    <s v=" S13A:Q4 trip[PS] "/>
    <n v="106170"/>
    <m/>
    <d v="2014-06-12T16:30:00"/>
    <d v="2014-06-12T18:54:00"/>
    <n v="2.3999999999650754"/>
    <m/>
    <m/>
    <m/>
    <x v="1"/>
    <m/>
    <m/>
    <m/>
    <s v=""/>
    <s v=""/>
    <n v="0"/>
  </r>
  <r>
    <m/>
    <m/>
    <m/>
    <m/>
    <m/>
    <m/>
    <m/>
    <d v="2014-06-12T16:30:00"/>
    <d v="2014-06-12T18:30:00"/>
    <m/>
    <n v="2.0000000000582077"/>
    <s v="PS"/>
    <s v="PS"/>
    <x v="5"/>
    <s v="Store Lost"/>
    <m/>
    <n v="1"/>
    <s v=""/>
    <s v=""/>
    <n v="1"/>
  </r>
  <r>
    <m/>
    <m/>
    <m/>
    <m/>
    <m/>
    <m/>
    <m/>
    <d v="2014-06-12T18:30:00"/>
    <d v="2014-06-12T18:54:00"/>
    <m/>
    <n v="0.39999999990686774"/>
    <s v="AOP"/>
    <s v="AOP"/>
    <x v="0"/>
    <s v="Inhibits Beam to User"/>
    <m/>
    <s v=""/>
    <s v=""/>
    <n v="1"/>
    <n v="1"/>
  </r>
  <r>
    <n v="9"/>
    <d v="2014-06-12T18:54:00"/>
    <d v="2014-06-13T16:34:00"/>
    <n v="21.666666666744277"/>
    <s v="30-ID BPLD [DIAG]        "/>
    <n v="106171"/>
    <m/>
    <d v="2014-06-13T16:34:00"/>
    <d v="2014-06-13T17:29:00"/>
    <n v="0.91666666668606922"/>
    <n v="0.91666666668606922"/>
    <s v="DIA"/>
    <s v="DIA"/>
    <x v="3"/>
    <s v="Store Lost"/>
    <m/>
    <n v="1"/>
    <s v=""/>
    <s v=""/>
    <n v="1"/>
  </r>
  <r>
    <n v="10"/>
    <d v="2014-06-13T17:29:00"/>
    <d v="2014-06-17T08:00:00"/>
    <n v="86.516666666662786"/>
    <s v="Int Dump: End of Period "/>
    <m/>
    <m/>
    <m/>
    <m/>
    <n v="0"/>
    <n v="0"/>
    <m/>
    <m/>
    <x v="1"/>
    <s v="Scheduled"/>
    <m/>
    <m/>
    <n v="1"/>
    <s v=""/>
    <n v="1"/>
  </r>
  <r>
    <m/>
    <m/>
    <m/>
    <n v="137.55000000010477"/>
    <m/>
    <m/>
    <m/>
    <m/>
    <m/>
    <n v="6.4499999998952262"/>
    <n v="6.4499999998952262"/>
    <m/>
    <m/>
    <x v="1"/>
    <m/>
    <m/>
    <s v=""/>
    <s v=""/>
    <s v=""/>
    <n v="0"/>
  </r>
  <r>
    <n v="11"/>
    <d v="2014-06-18T08:00:00"/>
    <d v="2014-06-18T11:38:00"/>
    <n v="3.6333333333022892"/>
    <s v="RF LL instability[RF]"/>
    <n v="106175"/>
    <m/>
    <d v="2014-06-18T11:38:00"/>
    <d v="2014-06-18T13:04:00"/>
    <n v="1.4333333332906477"/>
    <m/>
    <m/>
    <m/>
    <x v="1"/>
    <m/>
    <m/>
    <s v=""/>
    <s v=""/>
    <s v=""/>
    <n v="0"/>
  </r>
  <r>
    <m/>
    <m/>
    <m/>
    <m/>
    <m/>
    <m/>
    <m/>
    <d v="2014-06-18T11:38:00"/>
    <d v="2014-06-18T12:27:00"/>
    <m/>
    <n v="0.81666666670935228"/>
    <s v="RF"/>
    <s v="RF"/>
    <x v="4"/>
    <s v="Store Lost"/>
    <m/>
    <n v="1"/>
    <s v=""/>
    <s v=""/>
    <n v="1"/>
  </r>
  <r>
    <m/>
    <m/>
    <m/>
    <m/>
    <m/>
    <m/>
    <m/>
    <d v="2014-06-18T12:27:00"/>
    <d v="2014-06-18T13:04:00"/>
    <m/>
    <n v="0.61666666658129543"/>
    <s v="AOP"/>
    <s v="AOP"/>
    <x v="0"/>
    <s v="Inhibits Beam to User"/>
    <s v="P0 feedback problem "/>
    <s v=""/>
    <s v=""/>
    <n v="1"/>
    <n v="1"/>
  </r>
  <r>
    <n v="12"/>
    <d v="2014-06-18T13:04:00"/>
    <d v="2014-06-23T00:55:00"/>
    <n v="107.85000000003492"/>
    <m/>
    <n v="106181"/>
    <m/>
    <d v="2014-06-23T00:55:00"/>
    <d v="2014-06-23T01:49:00"/>
    <n v="0.8999999999650754"/>
    <n v="0.8999999999650754"/>
    <s v="UNK"/>
    <s v="UNK"/>
    <x v="6"/>
    <s v="Store Lost"/>
    <m/>
    <n v="1"/>
    <s v=""/>
    <s v=""/>
    <n v="1"/>
  </r>
  <r>
    <n v="13"/>
    <d v="2014-06-23T01:49:00"/>
    <d v="2014-06-23T08:00:00"/>
    <n v="6.183333333407063"/>
    <s v="Int Dump: End of Period "/>
    <m/>
    <m/>
    <m/>
    <m/>
    <n v="0"/>
    <n v="0"/>
    <m/>
    <m/>
    <x v="1"/>
    <s v="Scheduled"/>
    <m/>
    <s v=""/>
    <n v="1"/>
    <s v=""/>
    <n v="1"/>
  </r>
  <r>
    <m/>
    <m/>
    <m/>
    <n v="117.66666666674428"/>
    <m/>
    <m/>
    <m/>
    <m/>
    <m/>
    <n v="2.3333333332557231"/>
    <n v="2.3333333332557231"/>
    <m/>
    <m/>
    <x v="1"/>
    <m/>
    <m/>
    <s v=""/>
    <s v=""/>
    <s v=""/>
    <n v="0"/>
  </r>
  <r>
    <n v="14"/>
    <d v="2014-06-25T08:00:00"/>
    <d v="2014-06-28T21:44:00"/>
    <n v="85.733333333220799"/>
    <s v="30-ID BPLD trip[DIAG]    "/>
    <n v="106187"/>
    <m/>
    <d v="2014-06-28T21:44:00"/>
    <d v="2014-06-28T22:34:00"/>
    <n v="0.8333333334303461"/>
    <n v="0.8333333334303461"/>
    <s v="DIA"/>
    <s v="DIA"/>
    <x v="3"/>
    <s v="Store Lost"/>
    <m/>
    <n v="1"/>
    <s v=""/>
    <s v=""/>
    <n v="1"/>
  </r>
  <r>
    <n v="15"/>
    <d v="2014-06-28T22:34:00"/>
    <d v="2014-06-30T21:59:00"/>
    <n v="47.416666666686069"/>
    <s v="Tornado Warning          "/>
    <n v="106188"/>
    <m/>
    <d v="2014-06-30T21:59:00"/>
    <d v="2014-06-30T22:28:00"/>
    <n v="0.48333333333721384"/>
    <n v="0.48333333333721384"/>
    <s v="Weather"/>
    <s v="Weather"/>
    <x v="7"/>
    <s v="Inhibits Beam to User"/>
    <m/>
    <s v=""/>
    <s v=""/>
    <n v="1"/>
    <n v="1"/>
  </r>
  <r>
    <n v="16"/>
    <d v="2014-06-30T22:28:00"/>
    <d v="2014-07-03T22:31:00"/>
    <n v="72.049999999988358"/>
    <s v="&lt;50mA Helios down[IT]    "/>
    <n v="106189"/>
    <m/>
    <d v="2014-07-03T22:31:00"/>
    <d v="2014-07-04T05:50:00"/>
    <n v="7.316666666592937"/>
    <n v="7.316666666592937"/>
    <s v="IT"/>
    <s v="IT"/>
    <x v="8"/>
    <s v="Store Lost"/>
    <m/>
    <n v="1"/>
    <s v=""/>
    <s v=""/>
    <n v="1"/>
  </r>
  <r>
    <n v="17"/>
    <d v="2014-07-04T05:50:00"/>
    <d v="2014-07-04T08:00:00"/>
    <n v="2.1666666667442769"/>
    <s v="Int Dump: End of Period "/>
    <m/>
    <m/>
    <m/>
    <m/>
    <n v="0"/>
    <n v="0"/>
    <m/>
    <m/>
    <x v="1"/>
    <s v="Scheduled"/>
    <m/>
    <m/>
    <n v="1"/>
    <s v=""/>
    <n v="1"/>
  </r>
  <r>
    <m/>
    <m/>
    <m/>
    <n v="207.3666666666395"/>
    <m/>
    <m/>
    <m/>
    <m/>
    <m/>
    <n v="8.6333333333604969"/>
    <n v="8.6333333333604969"/>
    <m/>
    <m/>
    <x v="1"/>
    <m/>
    <m/>
    <s v=""/>
    <s v=""/>
    <s v=""/>
    <n v="0"/>
  </r>
  <r>
    <n v="18"/>
    <d v="2014-07-08T08:00:00"/>
    <d v="2014-07-11T13:26:00"/>
    <n v="77.43333333323244"/>
    <s v="Water flow fault [MOM]"/>
    <n v="106195"/>
    <m/>
    <d v="2014-07-11T13:26:00"/>
    <d v="2014-07-11T13:59:00"/>
    <n v="0.55000000004656613"/>
    <n v="0.55000000004656613"/>
    <s v="FMS"/>
    <s v="FMS"/>
    <x v="9"/>
    <s v="Store Lost"/>
    <m/>
    <n v="1"/>
    <s v=""/>
    <s v=""/>
    <n v="1"/>
  </r>
  <r>
    <n v="19"/>
    <d v="2014-07-11T13:59:00"/>
    <d v="2014-07-14T08:00:00"/>
    <n v="66.016666666720994"/>
    <s v="Int Dump: End of Period "/>
    <m/>
    <m/>
    <m/>
    <m/>
    <n v="0"/>
    <n v="0"/>
    <m/>
    <m/>
    <x v="1"/>
    <s v="Scheduled"/>
    <m/>
    <m/>
    <n v="1"/>
    <s v=""/>
    <n v="1"/>
  </r>
  <r>
    <m/>
    <m/>
    <m/>
    <n v="143.44999999995343"/>
    <m/>
    <m/>
    <m/>
    <m/>
    <m/>
    <n v="0.55000000004656613"/>
    <n v="0.55000000004656613"/>
    <m/>
    <m/>
    <x v="1"/>
    <m/>
    <m/>
    <s v=""/>
    <s v=""/>
    <s v=""/>
    <n v="0"/>
  </r>
  <r>
    <n v="20"/>
    <d v="2014-07-16T08:00:00"/>
    <d v="2014-07-17T10:51:00"/>
    <n v="26.849999999860302"/>
    <s v="Human error [UES] "/>
    <n v="106202"/>
    <m/>
    <d v="2014-07-17T10:51:00"/>
    <d v="2014-07-17T11:48:00"/>
    <n v="0.95000000012805685"/>
    <n v="0.95000000012805685"/>
    <s v="UES"/>
    <s v="UES"/>
    <x v="10"/>
    <s v="Store Lost"/>
    <m/>
    <n v="1"/>
    <s v=""/>
    <s v=""/>
    <n v="1"/>
  </r>
  <r>
    <n v="21"/>
    <d v="2014-07-17T11:48:00"/>
    <d v="2014-07-19T09:45:00"/>
    <n v="45.949999999953434"/>
    <s v="RF2 Crowbar[RF] "/>
    <n v="106205"/>
    <m/>
    <d v="2014-07-19T09:45:00"/>
    <d v="2014-07-19T10:20:00"/>
    <n v="0.58333333331393078"/>
    <n v="0.58333333331393078"/>
    <s v="RF"/>
    <s v="RF"/>
    <x v="4"/>
    <s v="Store Lost"/>
    <m/>
    <n v="1"/>
    <s v=""/>
    <s v=""/>
    <n v="1"/>
  </r>
  <r>
    <n v="22"/>
    <d v="2014-07-19T10:20:00"/>
    <d v="2014-07-19T16:57:00"/>
    <n v="6.6166666667559184"/>
    <s v="S17A:Q4 trip[PS]         "/>
    <n v="106208"/>
    <m/>
    <d v="2014-07-19T16:57:00"/>
    <d v="2014-07-19T18:34:00"/>
    <n v="1.6166666665230878"/>
    <n v="1.6166666665230878"/>
    <s v="PS"/>
    <s v="PS"/>
    <x v="5"/>
    <s v="Store Lost"/>
    <m/>
    <n v="1"/>
    <s v=""/>
    <s v=""/>
    <n v="1"/>
  </r>
  <r>
    <n v="23"/>
    <d v="2014-07-19T18:34:00"/>
    <d v="2014-07-22T08:00:00"/>
    <n v="61.433333333465271"/>
    <s v="Int Dump: End of Period "/>
    <m/>
    <m/>
    <m/>
    <m/>
    <n v="0"/>
    <n v="0"/>
    <m/>
    <m/>
    <x v="1"/>
    <s v="Scheduled"/>
    <m/>
    <m/>
    <n v="1"/>
    <s v=""/>
    <n v="1"/>
  </r>
  <r>
    <m/>
    <m/>
    <m/>
    <n v="140.85000000003492"/>
    <m/>
    <m/>
    <m/>
    <m/>
    <m/>
    <n v="3.1499999999650754"/>
    <n v="3.1499999999650754"/>
    <m/>
    <m/>
    <x v="1"/>
    <m/>
    <m/>
    <s v=""/>
    <s v=""/>
    <s v=""/>
    <n v="0"/>
  </r>
  <r>
    <n v="24"/>
    <d v="2014-07-23T08:00:00"/>
    <d v="2014-07-26T01:11:00"/>
    <n v="65.183333333290648"/>
    <s v="BPM IOC problem[CTL]"/>
    <n v="106214"/>
    <m/>
    <d v="2014-07-26T01:11:00"/>
    <d v="2014-07-26T07:14:00"/>
    <n v="6.0499999999883585"/>
    <n v="6.0499999999883585"/>
    <s v="CTL"/>
    <s v="CTL"/>
    <x v="11"/>
    <s v="Store Lost"/>
    <m/>
    <n v="1"/>
    <s v=""/>
    <s v=""/>
    <n v="1"/>
  </r>
  <r>
    <n v="25"/>
    <d v="2014-07-26T07:14:00"/>
    <d v="2014-07-27T00:51:00"/>
    <n v="17.616666666639503"/>
    <s v="S38 Gespac problem[PS] "/>
    <n v="106215"/>
    <m/>
    <d v="2014-07-27T00:51:00"/>
    <d v="2014-07-27T01:25:00"/>
    <n v="0.56666666676755995"/>
    <n v="0.56666666676755995"/>
    <s v="PS"/>
    <s v="PS"/>
    <x v="5"/>
    <s v="Store Lost"/>
    <m/>
    <n v="1"/>
    <s v=""/>
    <s v=""/>
    <n v="1"/>
  </r>
  <r>
    <n v="26"/>
    <d v="2014-07-27T01:25:00"/>
    <d v="2014-07-29T08:00:00"/>
    <n v="54.583333333313931"/>
    <s v="Int Dump: End of Period "/>
    <m/>
    <m/>
    <m/>
    <m/>
    <n v="0"/>
    <n v="0"/>
    <m/>
    <m/>
    <x v="1"/>
    <s v="Scheduled"/>
    <m/>
    <m/>
    <n v="1"/>
    <s v=""/>
    <n v="1"/>
  </r>
  <r>
    <m/>
    <m/>
    <m/>
    <n v="137.38333333324408"/>
    <m/>
    <m/>
    <m/>
    <m/>
    <m/>
    <n v="6.6166666667559184"/>
    <n v="6.6166666667559184"/>
    <m/>
    <m/>
    <x v="1"/>
    <m/>
    <m/>
    <s v=""/>
    <s v=""/>
    <s v=""/>
    <n v="0"/>
  </r>
  <r>
    <n v="27"/>
    <d v="2014-07-30T08:00:00"/>
    <d v="2014-07-30T09:31:00"/>
    <n v="1.5166666665463708"/>
    <s v="S18 MPS water fault[MOM]"/>
    <n v="106217"/>
    <m/>
    <d v="2014-07-30T09:31:00"/>
    <d v="2014-07-30T10:01:00"/>
    <n v="0.50000000005820766"/>
    <n v="0.50000000005820766"/>
    <s v="MOM"/>
    <s v="MOM"/>
    <x v="12"/>
    <s v="Store Lost"/>
    <m/>
    <n v="1"/>
    <s v=""/>
    <s v=""/>
    <n v="1"/>
  </r>
  <r>
    <n v="28"/>
    <d v="2014-07-30T10:01:00"/>
    <d v="2014-08-01T21:18:00"/>
    <n v="59.283333333267365"/>
    <s v="RF2 crowbar [RF]"/>
    <n v="106221"/>
    <m/>
    <d v="2014-08-01T21:18:00"/>
    <d v="2014-08-01T21:53:00"/>
    <n v="0.58333333348855376"/>
    <n v="0.58333333348855376"/>
    <s v="RF"/>
    <s v="RF"/>
    <x v="4"/>
    <s v="Store Lost"/>
    <m/>
    <n v="1"/>
    <s v=""/>
    <s v=""/>
    <n v="1"/>
  </r>
  <r>
    <n v="29"/>
    <d v="2014-08-01T21:53:00"/>
    <d v="2014-08-05T08:00:00"/>
    <n v="82.116666666639503"/>
    <s v="Int Dump: End of Period "/>
    <m/>
    <m/>
    <m/>
    <m/>
    <n v="0"/>
    <n v="0"/>
    <m/>
    <m/>
    <x v="1"/>
    <s v="Scheduled"/>
    <m/>
    <m/>
    <n v="1"/>
    <s v=""/>
    <n v="1"/>
  </r>
  <r>
    <m/>
    <m/>
    <m/>
    <n v="142.91666666645324"/>
    <m/>
    <m/>
    <m/>
    <m/>
    <m/>
    <n v="1.0833333335467614"/>
    <n v="1.0833333335467614"/>
    <m/>
    <m/>
    <x v="1"/>
    <m/>
    <m/>
    <s v=""/>
    <s v=""/>
    <s v=""/>
    <n v="0"/>
  </r>
  <r>
    <n v="30"/>
    <d v="2014-08-06T08:00:00"/>
    <d v="2014-08-07T16:07:00"/>
    <n v="32.116666666581295"/>
    <s v="Corr.PS @ max.[CTL]      "/>
    <n v="106223"/>
    <m/>
    <d v="2014-08-07T16:07:00"/>
    <d v="2014-08-07T17:16:00"/>
    <n v="1.1500000000814907"/>
    <n v="1.1500000000814907"/>
    <s v="CTL"/>
    <s v="CTL"/>
    <x v="11"/>
    <s v="Store Lost"/>
    <m/>
    <n v="1"/>
    <s v=""/>
    <s v=""/>
    <n v="1"/>
  </r>
  <r>
    <n v="31"/>
    <d v="2014-08-07T17:16:00"/>
    <d v="2014-08-09T08:15:00"/>
    <n v="38.983333333279006"/>
    <s v="IOCS29bpm failure[CTL]"/>
    <n v="106226"/>
    <m/>
    <d v="2014-08-09T08:15:00"/>
    <d v="2014-08-09T11:56:00"/>
    <n v="3.6833333332906477"/>
    <n v="3.6833333332906477"/>
    <s v="CTL"/>
    <s v="CTL"/>
    <x v="11"/>
    <s v="Store Lost"/>
    <m/>
    <n v="1"/>
    <s v=""/>
    <s v=""/>
    <n v="1"/>
  </r>
  <r>
    <n v="32"/>
    <d v="2014-08-09T11:56:00"/>
    <d v="2014-08-11T10:22:00"/>
    <n v="46.433333333290648"/>
    <s v="S10B:V1 glitch [PS]"/>
    <n v="106227"/>
    <m/>
    <d v="2014-08-11T10:22:00"/>
    <d v="2014-08-11T10:53:00"/>
    <n v="0.51666666677920148"/>
    <n v="0.51666666677920148"/>
    <s v="PS"/>
    <s v="PS"/>
    <x v="5"/>
    <s v="Store Lost"/>
    <m/>
    <n v="1"/>
    <s v=""/>
    <s v=""/>
    <n v="1"/>
  </r>
  <r>
    <n v="33"/>
    <d v="2014-08-11T10:53:00"/>
    <d v="2014-08-11T14:23:00"/>
    <n v="3.5000000000582077"/>
    <s v="S10B:V1 glitch [PS]      "/>
    <n v="106228"/>
    <m/>
    <d v="2014-08-11T14:23:00"/>
    <d v="2014-08-11T15:30:00"/>
    <n v="1.1166666666395031"/>
    <n v="1.1166666666395031"/>
    <s v="PS"/>
    <s v="PS"/>
    <x v="5"/>
    <s v="Store Lost"/>
    <m/>
    <n v="1"/>
    <s v=""/>
    <s v=""/>
    <n v="1"/>
  </r>
  <r>
    <n v="34"/>
    <d v="2014-08-11T15:30:00"/>
    <d v="2014-08-12T08:00:00"/>
    <n v="16.5"/>
    <s v="Int Dump: End of Period "/>
    <m/>
    <m/>
    <m/>
    <m/>
    <n v="0"/>
    <n v="0"/>
    <m/>
    <m/>
    <x v="1"/>
    <s v="Scheduled"/>
    <m/>
    <m/>
    <n v="1"/>
    <s v=""/>
    <n v="1"/>
  </r>
  <r>
    <m/>
    <m/>
    <m/>
    <n v="137.53333333320916"/>
    <m/>
    <m/>
    <m/>
    <m/>
    <m/>
    <n v="6.466666666790843"/>
    <n v="6.466666666790843"/>
    <m/>
    <m/>
    <x v="1"/>
    <m/>
    <m/>
    <s v=""/>
    <s v=""/>
    <s v=""/>
    <n v="0"/>
  </r>
  <r>
    <n v="35"/>
    <d v="2014-08-13T08:00:00"/>
    <d v="2014-08-14T21:22:00"/>
    <n v="37.366666666581295"/>
    <s v="S37 RF Hybrid flow[MOM]  "/>
    <n v="106233"/>
    <m/>
    <d v="2014-08-14T21:22:00"/>
    <d v="2014-08-14T22:17:00"/>
    <n v="0.91666666668606922"/>
    <n v="0.91666666668606922"/>
    <s v="MOM"/>
    <s v="MOM"/>
    <x v="12"/>
    <s v="Store Lost"/>
    <m/>
    <n v="1"/>
    <s v=""/>
    <s v=""/>
    <n v="1"/>
  </r>
  <r>
    <n v="36"/>
    <d v="2014-08-14T22:17:00"/>
    <d v="2014-08-19T08:00:00"/>
    <n v="105.71666666673264"/>
    <s v="Int Dump: End of Period "/>
    <m/>
    <m/>
    <m/>
    <m/>
    <n v="0"/>
    <n v="0"/>
    <m/>
    <m/>
    <x v="1"/>
    <s v="Scheduled"/>
    <m/>
    <m/>
    <n v="1"/>
    <s v=""/>
    <n v="1"/>
  </r>
  <r>
    <m/>
    <m/>
    <m/>
    <n v="143.08333333331393"/>
    <m/>
    <m/>
    <m/>
    <m/>
    <m/>
    <n v="0.91666666668606922"/>
    <n v="0.91666666668606922"/>
    <m/>
    <m/>
    <x v="1"/>
    <m/>
    <m/>
    <s v=""/>
    <s v=""/>
    <s v=""/>
    <n v="0"/>
  </r>
  <r>
    <n v="37"/>
    <d v="2014-08-20T08:00:00"/>
    <d v="2014-08-20T09:24:00"/>
    <n v="1.4000000000232831"/>
    <s v="11BM EPS trip [SI] "/>
    <n v="106237"/>
    <m/>
    <d v="2014-08-20T09:24:00"/>
    <d v="2014-08-20T11:52:00"/>
    <n v="2.4666666664998047"/>
    <m/>
    <m/>
    <m/>
    <x v="1"/>
    <m/>
    <s v="Linac recovery, L3 P.S.;1.79hr[SI],.68hr.[PS]"/>
    <s v=""/>
    <s v=""/>
    <s v=""/>
    <n v="0"/>
  </r>
  <r>
    <m/>
    <m/>
    <m/>
    <m/>
    <m/>
    <m/>
    <m/>
    <d v="2014-08-20T09:24:00"/>
    <d v="2014-08-20T11:12:00"/>
    <m/>
    <n v="1.7999999999301508"/>
    <s v="SI"/>
    <s v="SI"/>
    <x v="2"/>
    <s v="Store Lost"/>
    <m/>
    <n v="1"/>
    <s v=""/>
    <s v=""/>
    <n v="1"/>
  </r>
  <r>
    <m/>
    <m/>
    <m/>
    <m/>
    <m/>
    <m/>
    <m/>
    <d v="2014-08-20T11:12:00"/>
    <d v="2014-08-20T11:52:00"/>
    <m/>
    <n v="0.6666666665696539"/>
    <s v="PS"/>
    <s v="PS"/>
    <x v="5"/>
    <s v="Inhibits Beam to User"/>
    <m/>
    <s v=""/>
    <s v=""/>
    <n v="1"/>
    <n v="1"/>
  </r>
  <r>
    <n v="38"/>
    <d v="2014-08-20T11:52:00"/>
    <d v="2014-08-22T02:54:00"/>
    <n v="39.033333333441988"/>
    <s v="S38 Gespac problem[PS]   "/>
    <n v="106238"/>
    <m/>
    <d v="2014-08-22T02:54:00"/>
    <d v="2014-08-22T03:55:00"/>
    <n v="1.0166666666627862"/>
    <n v="1.0166666666627862"/>
    <s v="PS"/>
    <s v="PS"/>
    <x v="5"/>
    <s v="Store Lost"/>
    <m/>
    <n v="1"/>
    <s v=""/>
    <s v=""/>
    <n v="1"/>
  </r>
  <r>
    <n v="39"/>
    <d v="2014-08-22T03:55:00"/>
    <d v="2014-08-26T08:00:00"/>
    <n v="100.08333333337214"/>
    <s v="Int Dump: End of Period "/>
    <m/>
    <m/>
    <m/>
    <m/>
    <n v="0"/>
    <n v="0"/>
    <m/>
    <m/>
    <x v="1"/>
    <s v="Scheduled"/>
    <m/>
    <m/>
    <n v="1"/>
    <s v=""/>
    <n v="1"/>
  </r>
  <r>
    <m/>
    <m/>
    <m/>
    <n v="140.51666666683741"/>
    <m/>
    <m/>
    <m/>
    <m/>
    <m/>
    <n v="3.4833333331625909"/>
    <n v="3.4833333331625909"/>
    <m/>
    <m/>
    <x v="1"/>
    <m/>
    <m/>
    <s v=""/>
    <s v=""/>
    <s v="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0" dataOnRows="1" applyNumberFormats="0" applyBorderFormats="0" applyFontFormats="0" applyPatternFormats="0" applyAlignmentFormats="0" applyWidthHeightFormats="1" dataCaption="Data" updatedVersion="4" minRefreshableVersion="3" showMultipleLabel="0" showMemberPropertyTips="0" useAutoFormatting="1" itemPrintTitles="1" createdVersion="4" indent="0" compact="0" compactData="0" gridDropZones="1">
  <location ref="A3:N7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4">
        <item h="1" x="1"/>
        <item x="5"/>
        <item x="4"/>
        <item x="2"/>
        <item x="12"/>
        <item x="3"/>
        <item x="0"/>
        <item x="6"/>
        <item x="11"/>
        <item x="7"/>
        <item x="8"/>
        <item x="9"/>
        <item x="10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_x000a_Length" fld="10" baseField="0" baseItem="0"/>
  </dataFields>
  <formats count="3">
    <format dxfId="5">
      <pivotArea outline="0" fieldPosition="0">
        <references count="2">
          <reference field="4294967294" count="1" selected="0">
            <x v="2"/>
          </reference>
          <reference field="13" count="1" selected="0">
            <x v="1"/>
          </reference>
        </references>
      </pivotArea>
    </format>
    <format dxfId="4">
      <pivotArea outline="0" fieldPosition="0">
        <references count="2">
          <reference field="4294967294" count="1" selected="0">
            <x v="2"/>
          </reference>
          <reference field="13" count="1" selected="0">
            <x v="2"/>
          </reference>
        </references>
      </pivotArea>
    </format>
    <format dxfId="3">
      <pivotArea field="13" grandCol="1" outline="0" axis="axisCol" fieldPosition="0">
        <references count="1">
          <reference field="4294967294" count="1" selected="0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minRefreshableVersion="3" showMultipleLabel="0" showMemberPropertyTips="0" useAutoFormatting="1" itemPrintTitles="1" createdVersion="4" indent="0" compact="0" compactData="0" gridDropZones="1">
  <location ref="A37:I44" firstHeaderRow="1" firstDataRow="2" firstDataCol="2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itemPageCount="0" defaultSubtotal="0">
      <items count="16">
        <item h="1" x="0"/>
        <item m="1" x="14"/>
        <item x="2"/>
        <item x="3"/>
        <item m="1" x="10"/>
        <item x="6"/>
        <item m="1" x="11"/>
        <item m="1" x="8"/>
        <item x="4"/>
        <item x="5"/>
        <item m="1" x="12"/>
        <item m="1" x="9"/>
        <item x="1"/>
        <item m="1" x="13"/>
        <item m="1" x="7"/>
        <item m="1" x="15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itemPageCount="0" defaultSubtotal="0">
      <items count="5">
        <item x="0"/>
        <item x="1"/>
        <item x="2"/>
        <item x="3"/>
        <item m="1" x="4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4"/>
    <field x="-2"/>
  </rowFields>
  <rowItems count="6">
    <i>
      <x v="2"/>
      <x/>
    </i>
    <i r="1" i="1">
      <x v="1"/>
    </i>
    <i>
      <x v="3"/>
      <x/>
    </i>
    <i r="1" i="1">
      <x v="1"/>
    </i>
    <i t="grand">
      <x/>
    </i>
    <i t="grand" i="1">
      <x/>
    </i>
  </rowItems>
  <colFields count="1">
    <field x="11"/>
  </colFields>
  <colItems count="7">
    <i>
      <x v="2"/>
    </i>
    <i>
      <x v="3"/>
    </i>
    <i>
      <x v="5"/>
    </i>
    <i>
      <x v="8"/>
    </i>
    <i>
      <x v="9"/>
    </i>
    <i>
      <x v="12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8"/>
  <sheetViews>
    <sheetView topLeftCell="A28" zoomScaleNormal="100" zoomScaleSheetLayoutView="112" workbookViewId="0">
      <selection activeCell="N6" sqref="N6"/>
    </sheetView>
  </sheetViews>
  <sheetFormatPr defaultColWidth="9" defaultRowHeight="12.75"/>
  <cols>
    <col min="1" max="1" width="6.7109375" style="1" customWidth="1"/>
    <col min="2" max="2" width="15.7109375" style="2" customWidth="1"/>
    <col min="3" max="3" width="16.5703125" style="2" customWidth="1"/>
    <col min="4" max="4" width="9.28515625" style="3" customWidth="1"/>
    <col min="5" max="5" width="27.140625" style="4" customWidth="1"/>
    <col min="6" max="6" width="9.28515625" style="5" customWidth="1"/>
    <col min="7" max="7" width="3.28515625" style="6" customWidth="1"/>
    <col min="8" max="8" width="16.42578125" style="7" customWidth="1"/>
    <col min="9" max="9" width="17.7109375" style="7" customWidth="1"/>
    <col min="10" max="10" width="8.28515625" style="3" customWidth="1"/>
    <col min="11" max="11" width="7.7109375" style="8" customWidth="1"/>
    <col min="12" max="12" width="11.28515625" style="9" customWidth="1"/>
    <col min="13" max="13" width="13.140625" style="10" customWidth="1"/>
    <col min="14" max="14" width="11.28515625" style="10" customWidth="1"/>
    <col min="15" max="15" width="21.5703125" style="9" customWidth="1"/>
    <col min="16" max="16" width="68.140625" style="11" customWidth="1"/>
    <col min="17" max="19" width="5.7109375" style="12" customWidth="1"/>
    <col min="20" max="16384" width="9" style="12"/>
  </cols>
  <sheetData>
    <row r="1" spans="1:24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1.0416666666666666E-2</v>
      </c>
    </row>
    <row r="2" spans="1:24" ht="26.25">
      <c r="A2" s="208" t="s">
        <v>78</v>
      </c>
      <c r="B2" s="208"/>
      <c r="C2" s="208"/>
      <c r="D2" s="208"/>
      <c r="E2" s="208"/>
      <c r="F2" s="208"/>
      <c r="G2" s="208"/>
      <c r="H2" s="208"/>
      <c r="I2" s="208"/>
      <c r="J2" s="25"/>
      <c r="K2" s="25"/>
      <c r="L2" s="26"/>
      <c r="M2" s="27"/>
      <c r="N2" s="27"/>
      <c r="O2" s="26"/>
      <c r="P2" s="23"/>
    </row>
    <row r="3" spans="1:24" s="30" customForma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4" s="30" customFormat="1" ht="20.4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4" s="30" customFormat="1" ht="67.150000000000006" customHeight="1">
      <c r="A5" s="137" t="s">
        <v>3</v>
      </c>
      <c r="B5" s="138" t="s">
        <v>4</v>
      </c>
      <c r="C5" s="138" t="s">
        <v>5</v>
      </c>
      <c r="D5" s="139" t="s">
        <v>6</v>
      </c>
      <c r="E5" s="140" t="s">
        <v>7</v>
      </c>
      <c r="F5" s="137" t="s">
        <v>8</v>
      </c>
      <c r="G5" s="141" t="s">
        <v>9</v>
      </c>
      <c r="H5" s="138" t="s">
        <v>4</v>
      </c>
      <c r="I5" s="138" t="s">
        <v>5</v>
      </c>
      <c r="J5" s="142" t="s">
        <v>10</v>
      </c>
      <c r="K5" s="143" t="s">
        <v>11</v>
      </c>
      <c r="L5" s="144" t="s">
        <v>12</v>
      </c>
      <c r="M5" s="145" t="s">
        <v>13</v>
      </c>
      <c r="N5" s="145" t="s">
        <v>14</v>
      </c>
      <c r="O5" s="144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4" s="34" customFormat="1">
      <c r="A6" s="105">
        <v>1</v>
      </c>
      <c r="B6" s="164">
        <v>41787.333333333336</v>
      </c>
      <c r="C6" s="106">
        <v>41788.106944444444</v>
      </c>
      <c r="D6" s="107">
        <f>SUM(C6-B6)*24</f>
        <v>18.566666666592937</v>
      </c>
      <c r="E6" s="108" t="s">
        <v>77</v>
      </c>
      <c r="F6" s="109">
        <v>106155</v>
      </c>
      <c r="G6" s="110"/>
      <c r="H6" s="106">
        <v>41788.106944444444</v>
      </c>
      <c r="I6" s="165">
        <v>41788.134722222225</v>
      </c>
      <c r="J6" s="107">
        <f>SUM(I6-H6)*24</f>
        <v>0.66666666674427688</v>
      </c>
      <c r="K6" s="107">
        <f>SUM(I6-H6)*24</f>
        <v>0.66666666674427688</v>
      </c>
      <c r="L6" s="111" t="s">
        <v>70</v>
      </c>
      <c r="M6" s="112" t="s">
        <v>70</v>
      </c>
      <c r="N6" s="112" t="s">
        <v>70</v>
      </c>
      <c r="O6" s="113" t="s">
        <v>17</v>
      </c>
      <c r="P6" s="136"/>
      <c r="Q6" s="35">
        <f t="shared" ref="Q6:Q64" si="0">IF($O6="Store Lost",1,"")</f>
        <v>1</v>
      </c>
      <c r="R6" s="35" t="str">
        <f t="shared" ref="R6:R64" si="1">IF($O6="Scheduled",1,"")</f>
        <v/>
      </c>
      <c r="S6" s="35" t="str">
        <f t="shared" ref="S6:S64" si="2">IF($O6="Inhibits beam to user",1,"")</f>
        <v/>
      </c>
      <c r="T6" s="36">
        <f t="shared" ref="T6:T11" si="3">SUM(Q6:S6)</f>
        <v>1</v>
      </c>
      <c r="U6" s="30"/>
      <c r="V6" s="30"/>
      <c r="W6" s="30"/>
    </row>
    <row r="7" spans="1:24" s="34" customFormat="1">
      <c r="A7" s="95">
        <v>2</v>
      </c>
      <c r="B7" s="96">
        <v>41788.134722222225</v>
      </c>
      <c r="C7" s="189">
        <v>41791.539583333331</v>
      </c>
      <c r="D7" s="160">
        <f t="shared" ref="D7" si="4">SUM(C7-B7)*24</f>
        <v>81.716666666558012</v>
      </c>
      <c r="E7" s="98" t="s">
        <v>75</v>
      </c>
      <c r="F7" s="99">
        <v>106157</v>
      </c>
      <c r="G7" s="100"/>
      <c r="H7" s="157">
        <v>41791.539583333331</v>
      </c>
      <c r="I7" s="101">
        <v>41791.615277777775</v>
      </c>
      <c r="J7" s="97"/>
      <c r="K7" s="160"/>
      <c r="L7" s="102"/>
      <c r="M7" s="103"/>
      <c r="N7" s="103"/>
      <c r="O7" s="104"/>
      <c r="P7" s="135"/>
      <c r="Q7" s="35" t="str">
        <f t="shared" si="0"/>
        <v/>
      </c>
      <c r="R7" s="35" t="str">
        <f t="shared" si="1"/>
        <v/>
      </c>
      <c r="S7" s="35" t="str">
        <f t="shared" si="2"/>
        <v/>
      </c>
      <c r="T7" s="36">
        <f t="shared" si="3"/>
        <v>0</v>
      </c>
      <c r="U7" s="30"/>
      <c r="V7" s="30"/>
      <c r="W7" s="30"/>
    </row>
    <row r="8" spans="1:24" s="34" customFormat="1">
      <c r="A8" s="168"/>
      <c r="B8" s="169"/>
      <c r="C8" s="170"/>
      <c r="D8" s="160"/>
      <c r="E8" s="171"/>
      <c r="F8" s="172"/>
      <c r="G8" s="173"/>
      <c r="H8" s="180">
        <v>41791.539583333331</v>
      </c>
      <c r="I8" s="181">
        <v>41791.581250000003</v>
      </c>
      <c r="J8" s="190">
        <f t="shared" ref="J8:J10" si="5">SUM(I8-H8)*24</f>
        <v>1.0000000001164153</v>
      </c>
      <c r="K8" s="166">
        <f t="shared" ref="K8:K10" si="6">SUM(I8-H8)*24</f>
        <v>1.0000000001164153</v>
      </c>
      <c r="L8" s="182" t="s">
        <v>66</v>
      </c>
      <c r="M8" s="183" t="s">
        <v>66</v>
      </c>
      <c r="N8" s="183" t="s">
        <v>66</v>
      </c>
      <c r="O8" s="184" t="s">
        <v>17</v>
      </c>
      <c r="P8" s="185"/>
      <c r="Q8" s="35">
        <f t="shared" si="0"/>
        <v>1</v>
      </c>
      <c r="R8" s="35" t="str">
        <f t="shared" si="1"/>
        <v/>
      </c>
      <c r="S8" s="35" t="str">
        <f t="shared" si="2"/>
        <v/>
      </c>
      <c r="T8" s="36">
        <f t="shared" si="3"/>
        <v>1</v>
      </c>
      <c r="U8" s="30"/>
      <c r="V8" s="30"/>
      <c r="W8" s="30"/>
    </row>
    <row r="9" spans="1:24" s="34" customFormat="1">
      <c r="A9" s="168"/>
      <c r="B9" s="169"/>
      <c r="C9" s="170"/>
      <c r="D9" s="160"/>
      <c r="E9" s="171"/>
      <c r="F9" s="172"/>
      <c r="G9" s="173"/>
      <c r="H9" s="174">
        <v>41791.581250000003</v>
      </c>
      <c r="I9" s="175">
        <v>41791.615277777775</v>
      </c>
      <c r="J9" s="191">
        <f t="shared" si="5"/>
        <v>0.8166666665347293</v>
      </c>
      <c r="K9" s="192">
        <f t="shared" si="6"/>
        <v>0.8166666665347293</v>
      </c>
      <c r="L9" s="176" t="s">
        <v>69</v>
      </c>
      <c r="M9" s="177" t="s">
        <v>69</v>
      </c>
      <c r="N9" s="177" t="s">
        <v>69</v>
      </c>
      <c r="O9" s="178" t="s">
        <v>65</v>
      </c>
      <c r="P9" s="179"/>
      <c r="Q9" s="35" t="str">
        <f t="shared" si="0"/>
        <v/>
      </c>
      <c r="R9" s="35" t="str">
        <f t="shared" si="1"/>
        <v/>
      </c>
      <c r="S9" s="35">
        <f t="shared" si="2"/>
        <v>1</v>
      </c>
      <c r="T9" s="36">
        <f t="shared" si="3"/>
        <v>1</v>
      </c>
      <c r="U9" s="30"/>
      <c r="V9" s="30"/>
      <c r="W9" s="30"/>
    </row>
    <row r="10" spans="1:24" s="34" customFormat="1" ht="15">
      <c r="A10" s="105">
        <v>3</v>
      </c>
      <c r="B10" s="161">
        <v>41791.615277777775</v>
      </c>
      <c r="C10" s="106">
        <v>41793.333333333336</v>
      </c>
      <c r="D10" s="107">
        <f t="shared" ref="D10" si="7">SUM(C10-B10)*24</f>
        <v>41.233333333453629</v>
      </c>
      <c r="E10" s="108" t="s">
        <v>76</v>
      </c>
      <c r="F10" s="109"/>
      <c r="G10" s="110"/>
      <c r="H10" s="158"/>
      <c r="I10" s="158"/>
      <c r="J10" s="167">
        <f t="shared" si="5"/>
        <v>0</v>
      </c>
      <c r="K10" s="186">
        <f t="shared" si="6"/>
        <v>0</v>
      </c>
      <c r="L10" s="111"/>
      <c r="M10" s="112"/>
      <c r="N10" s="112"/>
      <c r="O10" s="113" t="s">
        <v>21</v>
      </c>
      <c r="P10" s="136"/>
      <c r="Q10" s="35"/>
      <c r="R10" s="35">
        <f t="shared" si="1"/>
        <v>1</v>
      </c>
      <c r="S10" s="35" t="str">
        <f t="shared" si="2"/>
        <v/>
      </c>
      <c r="T10" s="36">
        <f t="shared" si="3"/>
        <v>1</v>
      </c>
      <c r="U10" s="30"/>
      <c r="V10" s="30"/>
      <c r="W10" s="30"/>
    </row>
    <row r="11" spans="1:24" s="34" customFormat="1">
      <c r="A11" s="146"/>
      <c r="B11" s="147"/>
      <c r="C11" s="147"/>
      <c r="D11" s="148">
        <f>SUM(D6:D10)</f>
        <v>141.51666666660458</v>
      </c>
      <c r="E11" s="149"/>
      <c r="F11" s="150"/>
      <c r="G11" s="151"/>
      <c r="H11" s="152"/>
      <c r="I11" s="152"/>
      <c r="J11" s="153">
        <f>SUM(J6:J10)</f>
        <v>2.4833333333954215</v>
      </c>
      <c r="K11" s="153">
        <f>SUM(K6:K10)</f>
        <v>2.4833333333954215</v>
      </c>
      <c r="L11" s="154"/>
      <c r="M11" s="155"/>
      <c r="N11" s="155"/>
      <c r="O11" s="156"/>
      <c r="P11" s="94"/>
      <c r="Q11" s="35" t="str">
        <f t="shared" si="0"/>
        <v/>
      </c>
      <c r="R11" s="35" t="str">
        <f t="shared" si="1"/>
        <v/>
      </c>
      <c r="S11" s="35" t="str">
        <f t="shared" si="2"/>
        <v/>
      </c>
      <c r="T11" s="36">
        <f t="shared" si="3"/>
        <v>0</v>
      </c>
      <c r="U11" s="30"/>
      <c r="V11" s="30"/>
      <c r="W11" s="30"/>
    </row>
    <row r="12" spans="1:24" s="34" customFormat="1">
      <c r="A12" s="95">
        <v>4</v>
      </c>
      <c r="B12" s="96">
        <v>41794.333333333336</v>
      </c>
      <c r="C12" s="189">
        <v>41798.087500000001</v>
      </c>
      <c r="D12" s="160">
        <f t="shared" ref="D12" si="8">SUM(C12-B12)*24</f>
        <v>90.099999999976717</v>
      </c>
      <c r="E12" s="98" t="s">
        <v>79</v>
      </c>
      <c r="F12" s="99">
        <v>106162</v>
      </c>
      <c r="G12" s="100"/>
      <c r="H12" s="157">
        <v>41798.087500000001</v>
      </c>
      <c r="I12" s="101">
        <v>41798.136805555558</v>
      </c>
      <c r="J12" s="160">
        <f>SUM(I12-H12)*24</f>
        <v>1.1833333333488554</v>
      </c>
      <c r="K12" s="160">
        <f>SUM(I12-H12)*24</f>
        <v>1.1833333333488554</v>
      </c>
      <c r="L12" s="102" t="s">
        <v>66</v>
      </c>
      <c r="M12" s="103" t="s">
        <v>66</v>
      </c>
      <c r="N12" s="103" t="s">
        <v>66</v>
      </c>
      <c r="O12" s="104" t="s">
        <v>17</v>
      </c>
      <c r="P12" s="135"/>
      <c r="Q12" s="35">
        <f t="shared" si="0"/>
        <v>1</v>
      </c>
      <c r="R12" s="35" t="str">
        <f t="shared" si="1"/>
        <v/>
      </c>
      <c r="S12" s="35" t="str">
        <f t="shared" si="2"/>
        <v/>
      </c>
      <c r="T12" s="36">
        <f t="shared" ref="T12:T17" si="9">SUM(Q12:S12)</f>
        <v>1</v>
      </c>
      <c r="U12" s="30"/>
      <c r="V12" s="30"/>
      <c r="W12" s="30"/>
    </row>
    <row r="13" spans="1:24" s="34" customFormat="1" ht="15">
      <c r="A13" s="105">
        <v>5</v>
      </c>
      <c r="B13" s="161">
        <v>41798.136805555558</v>
      </c>
      <c r="C13" s="106">
        <v>41800.333333333336</v>
      </c>
      <c r="D13" s="107">
        <f t="shared" ref="D13" si="10">SUM(C13-B13)*24</f>
        <v>52.716666666674428</v>
      </c>
      <c r="E13" s="108" t="s">
        <v>76</v>
      </c>
      <c r="F13" s="109"/>
      <c r="G13" s="110"/>
      <c r="H13" s="158"/>
      <c r="I13" s="158"/>
      <c r="J13" s="167">
        <f t="shared" ref="J13" si="11">SUM(I13-H13)*24</f>
        <v>0</v>
      </c>
      <c r="K13" s="186">
        <f t="shared" ref="K13" si="12">SUM(I13-H13)*24</f>
        <v>0</v>
      </c>
      <c r="L13" s="111"/>
      <c r="M13" s="112"/>
      <c r="N13" s="112"/>
      <c r="O13" s="113" t="s">
        <v>21</v>
      </c>
      <c r="P13" s="136"/>
      <c r="Q13" s="35"/>
      <c r="R13" s="35">
        <f t="shared" si="1"/>
        <v>1</v>
      </c>
      <c r="S13" s="35" t="str">
        <f t="shared" si="2"/>
        <v/>
      </c>
      <c r="T13" s="36">
        <f t="shared" si="9"/>
        <v>1</v>
      </c>
      <c r="U13" s="30"/>
      <c r="V13" s="30"/>
      <c r="W13" s="30"/>
    </row>
    <row r="14" spans="1:24" s="34" customFormat="1">
      <c r="A14" s="146"/>
      <c r="B14" s="147"/>
      <c r="C14" s="147"/>
      <c r="D14" s="148">
        <f>SUM(D12:D13)</f>
        <v>142.81666666665114</v>
      </c>
      <c r="E14" s="149"/>
      <c r="F14" s="150"/>
      <c r="G14" s="151"/>
      <c r="H14" s="152"/>
      <c r="I14" s="152"/>
      <c r="J14" s="153">
        <f>SUM(J12:J13)</f>
        <v>1.1833333333488554</v>
      </c>
      <c r="K14" s="153">
        <f>SUM(K12:K13)</f>
        <v>1.1833333333488554</v>
      </c>
      <c r="L14" s="154"/>
      <c r="M14" s="155"/>
      <c r="N14" s="155"/>
      <c r="O14" s="156"/>
      <c r="P14" s="94"/>
      <c r="Q14" s="35" t="str">
        <f t="shared" si="0"/>
        <v/>
      </c>
      <c r="R14" s="35" t="str">
        <f t="shared" si="1"/>
        <v/>
      </c>
      <c r="S14" s="35" t="str">
        <f t="shared" si="2"/>
        <v/>
      </c>
      <c r="T14" s="36">
        <f t="shared" si="9"/>
        <v>0</v>
      </c>
      <c r="U14" s="30"/>
      <c r="V14" s="30"/>
      <c r="W14" s="30"/>
    </row>
    <row r="15" spans="1:24" s="34" customFormat="1">
      <c r="A15" s="105"/>
      <c r="B15" s="164"/>
      <c r="C15" s="106"/>
      <c r="D15" s="107">
        <f>SUM(C15-B15)*24</f>
        <v>0</v>
      </c>
      <c r="E15" s="108" t="s">
        <v>81</v>
      </c>
      <c r="F15" s="109">
        <v>106167</v>
      </c>
      <c r="G15" s="110"/>
      <c r="H15" s="106">
        <v>41801.333333333336</v>
      </c>
      <c r="I15" s="165">
        <v>41801.392361111109</v>
      </c>
      <c r="J15" s="107">
        <f>SUM(I15-H15)*24</f>
        <v>1.4166666665696539</v>
      </c>
      <c r="K15" s="107">
        <f>SUM(I15-H15)*24</f>
        <v>1.4166666665696539</v>
      </c>
      <c r="L15" s="111" t="s">
        <v>23</v>
      </c>
      <c r="M15" s="112" t="s">
        <v>23</v>
      </c>
      <c r="N15" s="112" t="s">
        <v>23</v>
      </c>
      <c r="O15" s="113" t="s">
        <v>65</v>
      </c>
      <c r="P15" s="136"/>
      <c r="Q15" s="35" t="str">
        <f t="shared" si="0"/>
        <v/>
      </c>
      <c r="R15" s="35" t="str">
        <f t="shared" si="1"/>
        <v/>
      </c>
      <c r="S15" s="35">
        <f t="shared" si="2"/>
        <v>1</v>
      </c>
      <c r="T15" s="36">
        <f t="shared" si="9"/>
        <v>1</v>
      </c>
      <c r="U15" s="30"/>
      <c r="V15" s="30"/>
      <c r="W15" s="30"/>
    </row>
    <row r="16" spans="1:24" s="34" customFormat="1">
      <c r="A16" s="95">
        <v>7</v>
      </c>
      <c r="B16" s="96">
        <v>41801.392361111109</v>
      </c>
      <c r="C16" s="189">
        <v>41802.461805555555</v>
      </c>
      <c r="D16" s="160">
        <f t="shared" ref="D16" si="13">SUM(C16-B16)*24</f>
        <v>25.666666666686069</v>
      </c>
      <c r="E16" s="98" t="s">
        <v>80</v>
      </c>
      <c r="F16" s="99">
        <v>106169</v>
      </c>
      <c r="G16" s="100"/>
      <c r="H16" s="157">
        <v>41802.461805555555</v>
      </c>
      <c r="I16" s="101">
        <v>41802.533333333333</v>
      </c>
      <c r="J16" s="160">
        <f>SUM(I16-H16)*24</f>
        <v>1.7166666666744277</v>
      </c>
      <c r="K16" s="160">
        <f>SUM(I16-H16)*24</f>
        <v>1.7166666666744277</v>
      </c>
      <c r="L16" s="102" t="s">
        <v>23</v>
      </c>
      <c r="M16" s="103" t="s">
        <v>23</v>
      </c>
      <c r="N16" s="103" t="s">
        <v>23</v>
      </c>
      <c r="O16" s="104" t="s">
        <v>17</v>
      </c>
      <c r="P16" s="135"/>
      <c r="Q16" s="35">
        <f t="shared" si="0"/>
        <v>1</v>
      </c>
      <c r="R16" s="35" t="str">
        <f t="shared" si="1"/>
        <v/>
      </c>
      <c r="S16" s="35" t="str">
        <f t="shared" si="2"/>
        <v/>
      </c>
      <c r="T16" s="36">
        <f t="shared" si="9"/>
        <v>1</v>
      </c>
      <c r="U16" s="30"/>
      <c r="V16" s="30"/>
      <c r="W16" s="30"/>
    </row>
    <row r="17" spans="1:23" s="34" customFormat="1">
      <c r="A17" s="105">
        <v>8</v>
      </c>
      <c r="B17" s="161">
        <v>41802.533333333333</v>
      </c>
      <c r="C17" s="106">
        <v>41802.6875</v>
      </c>
      <c r="D17" s="107">
        <f t="shared" ref="D17" si="14">SUM(C17-B17)*24</f>
        <v>3.7000000000116415</v>
      </c>
      <c r="E17" s="108" t="s">
        <v>83</v>
      </c>
      <c r="F17" s="109">
        <v>106170</v>
      </c>
      <c r="G17" s="110"/>
      <c r="H17" s="165">
        <v>41802.6875</v>
      </c>
      <c r="I17" s="165">
        <v>41802.787499999999</v>
      </c>
      <c r="J17" s="167">
        <f t="shared" ref="J17" si="15">SUM(I17-H17)*24</f>
        <v>2.3999999999650754</v>
      </c>
      <c r="K17" s="186"/>
      <c r="L17" s="111"/>
      <c r="M17" s="112"/>
      <c r="N17" s="112"/>
      <c r="O17" s="113"/>
      <c r="P17" s="136"/>
      <c r="Q17" s="35"/>
      <c r="R17" s="35" t="str">
        <f t="shared" si="1"/>
        <v/>
      </c>
      <c r="S17" s="35" t="str">
        <f t="shared" si="2"/>
        <v/>
      </c>
      <c r="T17" s="36">
        <f t="shared" si="9"/>
        <v>0</v>
      </c>
      <c r="U17" s="30"/>
      <c r="V17" s="30"/>
      <c r="W17" s="30"/>
    </row>
    <row r="18" spans="1:23" s="34" customFormat="1">
      <c r="A18" s="168"/>
      <c r="B18" s="169"/>
      <c r="C18" s="170"/>
      <c r="D18" s="160"/>
      <c r="E18" s="171"/>
      <c r="F18" s="172"/>
      <c r="G18" s="173"/>
      <c r="H18" s="180">
        <v>41802.6875</v>
      </c>
      <c r="I18" s="181">
        <v>41802.770833333336</v>
      </c>
      <c r="J18" s="190"/>
      <c r="K18" s="166">
        <f>SUM(I18-H18)*24</f>
        <v>2.0000000000582077</v>
      </c>
      <c r="L18" s="182" t="s">
        <v>22</v>
      </c>
      <c r="M18" s="183" t="s">
        <v>22</v>
      </c>
      <c r="N18" s="183" t="s">
        <v>22</v>
      </c>
      <c r="O18" s="184" t="s">
        <v>17</v>
      </c>
      <c r="P18" s="185"/>
      <c r="Q18" s="35">
        <f>IF($O18="Store Lost",1,"")</f>
        <v>1</v>
      </c>
      <c r="R18" s="35" t="str">
        <f>IF($O18="Scheduled",1,"")</f>
        <v/>
      </c>
      <c r="S18" s="35" t="str">
        <f>IF($O18="Inhibits beam to user",1,"")</f>
        <v/>
      </c>
      <c r="T18" s="36">
        <f>SUM(Q18:S18)</f>
        <v>1</v>
      </c>
      <c r="U18" s="30"/>
      <c r="V18" s="30"/>
      <c r="W18" s="30"/>
    </row>
    <row r="19" spans="1:23" s="34" customFormat="1">
      <c r="A19" s="168"/>
      <c r="B19" s="169"/>
      <c r="C19" s="170"/>
      <c r="D19" s="160"/>
      <c r="E19" s="171"/>
      <c r="F19" s="172"/>
      <c r="G19" s="173"/>
      <c r="H19" s="174">
        <v>41802.770833333336</v>
      </c>
      <c r="I19" s="175">
        <v>41802.787499999999</v>
      </c>
      <c r="J19" s="191"/>
      <c r="K19" s="192">
        <f>SUM(I19-H19)*24</f>
        <v>0.39999999990686774</v>
      </c>
      <c r="L19" s="176" t="s">
        <v>70</v>
      </c>
      <c r="M19" s="177" t="s">
        <v>70</v>
      </c>
      <c r="N19" s="177" t="s">
        <v>70</v>
      </c>
      <c r="O19" s="178" t="s">
        <v>65</v>
      </c>
      <c r="P19" s="179"/>
      <c r="Q19" s="35" t="str">
        <f>IF($O19="Store Lost",1,"")</f>
        <v/>
      </c>
      <c r="R19" s="35" t="str">
        <f>IF($O19="Scheduled",1,"")</f>
        <v/>
      </c>
      <c r="S19" s="35">
        <f>IF($O19="Inhibits beam to user",1,"")</f>
        <v>1</v>
      </c>
      <c r="T19" s="36">
        <f>SUM(Q19:S19)</f>
        <v>1</v>
      </c>
      <c r="U19" s="30"/>
      <c r="V19" s="30"/>
      <c r="W19" s="30"/>
    </row>
    <row r="20" spans="1:23" s="34" customFormat="1">
      <c r="A20" s="95">
        <v>9</v>
      </c>
      <c r="B20" s="193">
        <v>41802.787499999999</v>
      </c>
      <c r="C20" s="157">
        <v>41803.69027777778</v>
      </c>
      <c r="D20" s="160">
        <f>SUM(C20-B20)*24</f>
        <v>21.666666666744277</v>
      </c>
      <c r="E20" s="98" t="s">
        <v>82</v>
      </c>
      <c r="F20" s="99">
        <v>106171</v>
      </c>
      <c r="G20" s="100"/>
      <c r="H20" s="157">
        <v>41803.69027777778</v>
      </c>
      <c r="I20" s="101">
        <v>41803.728472222225</v>
      </c>
      <c r="J20" s="160">
        <f>SUM(I20-H20)*24</f>
        <v>0.91666666668606922</v>
      </c>
      <c r="K20" s="160">
        <f>SUM(I20-H20)*24</f>
        <v>0.91666666668606922</v>
      </c>
      <c r="L20" s="102" t="s">
        <v>69</v>
      </c>
      <c r="M20" s="103" t="s">
        <v>69</v>
      </c>
      <c r="N20" s="103" t="s">
        <v>69</v>
      </c>
      <c r="O20" s="104" t="s">
        <v>17</v>
      </c>
      <c r="P20" s="135"/>
      <c r="Q20" s="35">
        <f t="shared" si="0"/>
        <v>1</v>
      </c>
      <c r="R20" s="35" t="str">
        <f t="shared" si="1"/>
        <v/>
      </c>
      <c r="S20" s="35" t="str">
        <f t="shared" si="2"/>
        <v/>
      </c>
      <c r="T20" s="36">
        <f t="shared" ref="T20:T26" si="16">SUM(Q20:S20)</f>
        <v>1</v>
      </c>
      <c r="U20" s="30"/>
      <c r="V20" s="30"/>
      <c r="W20" s="30"/>
    </row>
    <row r="21" spans="1:23" s="34" customFormat="1" ht="15">
      <c r="A21" s="105">
        <v>10</v>
      </c>
      <c r="B21" s="161">
        <v>41803.728472222225</v>
      </c>
      <c r="C21" s="106">
        <v>41807.333333333336</v>
      </c>
      <c r="D21" s="107">
        <f t="shared" ref="D21" si="17">SUM(C21-B21)*24</f>
        <v>86.516666666662786</v>
      </c>
      <c r="E21" s="108" t="s">
        <v>76</v>
      </c>
      <c r="F21" s="109"/>
      <c r="G21" s="110"/>
      <c r="H21" s="158"/>
      <c r="I21" s="158"/>
      <c r="J21" s="167">
        <f t="shared" ref="J21" si="18">SUM(I21-H21)*24</f>
        <v>0</v>
      </c>
      <c r="K21" s="186">
        <f t="shared" ref="K21" si="19">SUM(I21-H21)*24</f>
        <v>0</v>
      </c>
      <c r="L21" s="111"/>
      <c r="M21" s="112"/>
      <c r="N21" s="112"/>
      <c r="O21" s="113" t="s">
        <v>21</v>
      </c>
      <c r="P21" s="136"/>
      <c r="Q21" s="35"/>
      <c r="R21" s="35">
        <f t="shared" si="1"/>
        <v>1</v>
      </c>
      <c r="S21" s="35" t="str">
        <f t="shared" si="2"/>
        <v/>
      </c>
      <c r="T21" s="36">
        <f t="shared" si="16"/>
        <v>1</v>
      </c>
      <c r="U21" s="30"/>
      <c r="V21" s="30"/>
      <c r="W21" s="30"/>
    </row>
    <row r="22" spans="1:23" s="34" customFormat="1">
      <c r="A22" s="146"/>
      <c r="B22" s="147"/>
      <c r="C22" s="147"/>
      <c r="D22" s="148">
        <f>SUM(D15:D21)</f>
        <v>137.55000000010477</v>
      </c>
      <c r="E22" s="149"/>
      <c r="F22" s="150"/>
      <c r="G22" s="151"/>
      <c r="H22" s="152"/>
      <c r="I22" s="152"/>
      <c r="J22" s="153">
        <f>SUM(J15:J21)</f>
        <v>6.4499999998952262</v>
      </c>
      <c r="K22" s="153">
        <f>SUM(K15:K21)</f>
        <v>6.4499999998952262</v>
      </c>
      <c r="L22" s="154"/>
      <c r="M22" s="155"/>
      <c r="N22" s="155"/>
      <c r="O22" s="156"/>
      <c r="P22" s="94"/>
      <c r="Q22" s="35" t="str">
        <f t="shared" si="0"/>
        <v/>
      </c>
      <c r="R22" s="35" t="str">
        <f t="shared" si="1"/>
        <v/>
      </c>
      <c r="S22" s="35" t="str">
        <f t="shared" si="2"/>
        <v/>
      </c>
      <c r="T22" s="36">
        <f t="shared" si="16"/>
        <v>0</v>
      </c>
      <c r="U22" s="30"/>
      <c r="V22" s="30"/>
      <c r="W22" s="30"/>
    </row>
    <row r="23" spans="1:23" s="34" customFormat="1">
      <c r="A23" s="95">
        <v>11</v>
      </c>
      <c r="B23" s="96">
        <v>41808.333333333336</v>
      </c>
      <c r="C23" s="189">
        <v>41808.484722222223</v>
      </c>
      <c r="D23" s="160">
        <f t="shared" ref="D23" si="20">SUM(C23-B23)*24</f>
        <v>3.6333333333022892</v>
      </c>
      <c r="E23" s="98" t="s">
        <v>84</v>
      </c>
      <c r="F23" s="99">
        <v>106175</v>
      </c>
      <c r="G23" s="100"/>
      <c r="H23" s="157">
        <v>41808.484722222223</v>
      </c>
      <c r="I23" s="101">
        <v>41808.544444444444</v>
      </c>
      <c r="J23" s="160">
        <f>SUM(I23-H23)*24</f>
        <v>1.4333333332906477</v>
      </c>
      <c r="K23" s="160"/>
      <c r="L23" s="102"/>
      <c r="M23" s="103"/>
      <c r="N23" s="103"/>
      <c r="O23" s="104"/>
      <c r="P23" s="135"/>
      <c r="Q23" s="35" t="str">
        <f t="shared" si="0"/>
        <v/>
      </c>
      <c r="R23" s="35" t="str">
        <f t="shared" si="1"/>
        <v/>
      </c>
      <c r="S23" s="35" t="str">
        <f t="shared" si="2"/>
        <v/>
      </c>
      <c r="T23" s="36">
        <f t="shared" si="16"/>
        <v>0</v>
      </c>
      <c r="U23" s="30"/>
      <c r="V23" s="30"/>
      <c r="W23" s="30"/>
    </row>
    <row r="24" spans="1:23" s="34" customFormat="1">
      <c r="A24" s="168"/>
      <c r="B24" s="169"/>
      <c r="C24" s="170"/>
      <c r="D24" s="160"/>
      <c r="E24" s="171"/>
      <c r="F24" s="172"/>
      <c r="G24" s="173"/>
      <c r="H24" s="180">
        <v>41808.484722222223</v>
      </c>
      <c r="I24" s="181">
        <v>41808.518750000003</v>
      </c>
      <c r="J24" s="190"/>
      <c r="K24" s="166">
        <f>SUM(I24-H24)*24</f>
        <v>0.81666666670935228</v>
      </c>
      <c r="L24" s="182" t="s">
        <v>23</v>
      </c>
      <c r="M24" s="183" t="s">
        <v>23</v>
      </c>
      <c r="N24" s="183" t="s">
        <v>23</v>
      </c>
      <c r="O24" s="184" t="s">
        <v>17</v>
      </c>
      <c r="P24" s="185"/>
      <c r="Q24" s="35">
        <f>IF($O24="Store Lost",1,"")</f>
        <v>1</v>
      </c>
      <c r="R24" s="35" t="str">
        <f>IF($O24="Scheduled",1,"")</f>
        <v/>
      </c>
      <c r="S24" s="35" t="str">
        <f>IF($O24="Inhibits beam to user",1,"")</f>
        <v/>
      </c>
      <c r="T24" s="36">
        <f>SUM(Q24:S24)</f>
        <v>1</v>
      </c>
      <c r="U24" s="30"/>
      <c r="V24" s="30"/>
      <c r="W24" s="30"/>
    </row>
    <row r="25" spans="1:23" s="34" customFormat="1">
      <c r="A25" s="168"/>
      <c r="B25" s="169"/>
      <c r="C25" s="170"/>
      <c r="D25" s="160"/>
      <c r="E25" s="171"/>
      <c r="F25" s="172"/>
      <c r="G25" s="173"/>
      <c r="H25" s="174">
        <v>41808.518750000003</v>
      </c>
      <c r="I25" s="175">
        <v>41808.544444444444</v>
      </c>
      <c r="J25" s="191"/>
      <c r="K25" s="192">
        <f>SUM(I25-H25)*24</f>
        <v>0.61666666658129543</v>
      </c>
      <c r="L25" s="176" t="s">
        <v>70</v>
      </c>
      <c r="M25" s="177" t="s">
        <v>70</v>
      </c>
      <c r="N25" s="177" t="s">
        <v>70</v>
      </c>
      <c r="O25" s="178" t="s">
        <v>65</v>
      </c>
      <c r="P25" s="179" t="s">
        <v>85</v>
      </c>
      <c r="Q25" s="35" t="str">
        <f t="shared" ref="Q25:Q28" si="21">IF($O25="Store Lost",1,"")</f>
        <v/>
      </c>
      <c r="R25" s="35" t="str">
        <f>IF($O25="Scheduled",1,"")</f>
        <v/>
      </c>
      <c r="S25" s="35">
        <f>IF($O25="Inhibits beam to user",1,"")</f>
        <v>1</v>
      </c>
      <c r="T25" s="36">
        <f>SUM(Q25:S25)</f>
        <v>1</v>
      </c>
      <c r="U25" s="30"/>
      <c r="V25" s="30"/>
      <c r="W25" s="30"/>
    </row>
    <row r="26" spans="1:23" s="34" customFormat="1">
      <c r="A26" s="105">
        <v>12</v>
      </c>
      <c r="B26" s="161">
        <v>41808.544444444444</v>
      </c>
      <c r="C26" s="106">
        <v>41813.038194444445</v>
      </c>
      <c r="D26" s="107">
        <f t="shared" ref="D26" si="22">SUM(C26-B26)*24</f>
        <v>107.85000000003492</v>
      </c>
      <c r="E26" s="108"/>
      <c r="F26" s="109">
        <v>106181</v>
      </c>
      <c r="G26" s="110"/>
      <c r="H26" s="165">
        <v>41813.038194444445</v>
      </c>
      <c r="I26" s="165">
        <v>41813.075694444444</v>
      </c>
      <c r="J26" s="167">
        <f t="shared" ref="J26" si="23">SUM(I26-H26)*24</f>
        <v>0.8999999999650754</v>
      </c>
      <c r="K26" s="107">
        <f>SUM(I26-H26)*24</f>
        <v>0.8999999999650754</v>
      </c>
      <c r="L26" s="111" t="s">
        <v>71</v>
      </c>
      <c r="M26" s="112" t="s">
        <v>71</v>
      </c>
      <c r="N26" s="112" t="s">
        <v>71</v>
      </c>
      <c r="O26" s="113" t="s">
        <v>17</v>
      </c>
      <c r="P26" s="136"/>
      <c r="Q26" s="35">
        <f t="shared" si="21"/>
        <v>1</v>
      </c>
      <c r="R26" s="35" t="str">
        <f t="shared" si="1"/>
        <v/>
      </c>
      <c r="S26" s="35" t="str">
        <f t="shared" si="2"/>
        <v/>
      </c>
      <c r="T26" s="36">
        <f t="shared" si="16"/>
        <v>1</v>
      </c>
      <c r="U26" s="30"/>
      <c r="V26" s="30"/>
      <c r="W26" s="30"/>
    </row>
    <row r="27" spans="1:23" s="34" customFormat="1" ht="15">
      <c r="A27" s="168">
        <v>13</v>
      </c>
      <c r="B27" s="169">
        <v>41813.075694444444</v>
      </c>
      <c r="C27" s="170">
        <v>41813.333333333336</v>
      </c>
      <c r="D27" s="160">
        <f t="shared" ref="D27" si="24">SUM(C27-B27)*24</f>
        <v>6.183333333407063</v>
      </c>
      <c r="E27" s="171" t="s">
        <v>76</v>
      </c>
      <c r="F27" s="172"/>
      <c r="G27" s="173"/>
      <c r="H27" s="194"/>
      <c r="I27" s="194"/>
      <c r="J27" s="195">
        <f t="shared" ref="J27" si="25">SUM(I27-H27)*24</f>
        <v>0</v>
      </c>
      <c r="K27" s="160">
        <f t="shared" ref="K27" si="26">SUM(I27-H27)*24</f>
        <v>0</v>
      </c>
      <c r="L27" s="196"/>
      <c r="M27" s="197"/>
      <c r="N27" s="197"/>
      <c r="O27" s="198" t="s">
        <v>21</v>
      </c>
      <c r="P27" s="199"/>
      <c r="Q27" s="35" t="str">
        <f t="shared" si="21"/>
        <v/>
      </c>
      <c r="R27" s="35">
        <f t="shared" si="1"/>
        <v>1</v>
      </c>
      <c r="S27" s="35" t="str">
        <f t="shared" si="2"/>
        <v/>
      </c>
      <c r="T27" s="36">
        <f t="shared" ref="T27:T28" si="27">SUM(Q27:S27)</f>
        <v>1</v>
      </c>
      <c r="U27" s="30"/>
      <c r="V27" s="30"/>
      <c r="W27" s="30"/>
    </row>
    <row r="28" spans="1:23" s="34" customFormat="1">
      <c r="A28" s="146"/>
      <c r="B28" s="147"/>
      <c r="C28" s="147"/>
      <c r="D28" s="148">
        <f>SUM(D23:D27)</f>
        <v>117.66666666674428</v>
      </c>
      <c r="E28" s="149"/>
      <c r="F28" s="150"/>
      <c r="G28" s="151"/>
      <c r="H28" s="152"/>
      <c r="I28" s="152"/>
      <c r="J28" s="153">
        <f>SUM(J23:J27)</f>
        <v>2.3333333332557231</v>
      </c>
      <c r="K28" s="153">
        <f>SUM(K23:K27)</f>
        <v>2.3333333332557231</v>
      </c>
      <c r="L28" s="154"/>
      <c r="M28" s="155"/>
      <c r="N28" s="155"/>
      <c r="O28" s="156"/>
      <c r="P28" s="94"/>
      <c r="Q28" s="35" t="str">
        <f t="shared" si="21"/>
        <v/>
      </c>
      <c r="R28" s="35" t="str">
        <f t="shared" si="1"/>
        <v/>
      </c>
      <c r="S28" s="35" t="str">
        <f t="shared" si="2"/>
        <v/>
      </c>
      <c r="T28" s="36">
        <f t="shared" si="27"/>
        <v>0</v>
      </c>
      <c r="U28" s="30"/>
      <c r="V28" s="30"/>
      <c r="W28" s="30"/>
    </row>
    <row r="29" spans="1:23" s="34" customFormat="1">
      <c r="A29" s="105">
        <v>14</v>
      </c>
      <c r="B29" s="164">
        <v>41815.333333333336</v>
      </c>
      <c r="C29" s="106">
        <v>41818.905555555553</v>
      </c>
      <c r="D29" s="107">
        <f>SUM(C29-B29)*24</f>
        <v>85.733333333220799</v>
      </c>
      <c r="E29" s="108" t="s">
        <v>86</v>
      </c>
      <c r="F29" s="109">
        <v>106187</v>
      </c>
      <c r="G29" s="110"/>
      <c r="H29" s="106">
        <v>41818.905555555553</v>
      </c>
      <c r="I29" s="165">
        <v>41818.94027777778</v>
      </c>
      <c r="J29" s="107">
        <f>SUM(I29-H29)*24</f>
        <v>0.8333333334303461</v>
      </c>
      <c r="K29" s="107">
        <f>SUM(I29-H29)*24</f>
        <v>0.8333333334303461</v>
      </c>
      <c r="L29" s="111" t="s">
        <v>69</v>
      </c>
      <c r="M29" s="112" t="s">
        <v>69</v>
      </c>
      <c r="N29" s="112" t="s">
        <v>69</v>
      </c>
      <c r="O29" s="113" t="s">
        <v>17</v>
      </c>
      <c r="P29" s="136"/>
      <c r="Q29" s="35">
        <f t="shared" si="0"/>
        <v>1</v>
      </c>
      <c r="R29" s="35" t="str">
        <f t="shared" si="1"/>
        <v/>
      </c>
      <c r="S29" s="35" t="str">
        <f t="shared" si="2"/>
        <v/>
      </c>
      <c r="T29" s="36">
        <f t="shared" ref="T29:T33" si="28">SUM(Q29:S29)</f>
        <v>1</v>
      </c>
      <c r="U29" s="30"/>
      <c r="V29" s="30"/>
      <c r="W29" s="30"/>
    </row>
    <row r="30" spans="1:23" s="34" customFormat="1">
      <c r="A30" s="95">
        <v>15</v>
      </c>
      <c r="B30" s="96">
        <v>41818.94027777778</v>
      </c>
      <c r="C30" s="189">
        <v>41820.915972222225</v>
      </c>
      <c r="D30" s="160">
        <f t="shared" ref="D30" si="29">SUM(C30-B30)*24</f>
        <v>47.416666666686069</v>
      </c>
      <c r="E30" s="98" t="s">
        <v>87</v>
      </c>
      <c r="F30" s="99">
        <v>106188</v>
      </c>
      <c r="G30" s="100"/>
      <c r="H30" s="157">
        <v>41820.915972222225</v>
      </c>
      <c r="I30" s="101">
        <v>41820.936111111114</v>
      </c>
      <c r="J30" s="195">
        <f t="shared" ref="J30" si="30">SUM(I30-H30)*24</f>
        <v>0.48333333333721384</v>
      </c>
      <c r="K30" s="160">
        <f t="shared" ref="K30" si="31">SUM(I30-H30)*24</f>
        <v>0.48333333333721384</v>
      </c>
      <c r="L30" s="102" t="s">
        <v>89</v>
      </c>
      <c r="M30" s="103" t="s">
        <v>89</v>
      </c>
      <c r="N30" s="103" t="s">
        <v>89</v>
      </c>
      <c r="O30" s="104" t="s">
        <v>65</v>
      </c>
      <c r="P30" s="135"/>
      <c r="Q30" s="35" t="str">
        <f t="shared" si="0"/>
        <v/>
      </c>
      <c r="R30" s="35" t="str">
        <f t="shared" si="1"/>
        <v/>
      </c>
      <c r="S30" s="35">
        <f t="shared" si="2"/>
        <v>1</v>
      </c>
      <c r="T30" s="36">
        <f t="shared" si="28"/>
        <v>1</v>
      </c>
      <c r="U30" s="30"/>
      <c r="V30" s="30"/>
      <c r="W30" s="30"/>
    </row>
    <row r="31" spans="1:23" s="34" customFormat="1">
      <c r="A31" s="204">
        <v>16</v>
      </c>
      <c r="B31" s="108">
        <v>41820.936111111114</v>
      </c>
      <c r="C31" s="205">
        <v>41823.938194444447</v>
      </c>
      <c r="D31" s="107">
        <f>SUM(C31-B31)*24</f>
        <v>72.049999999988358</v>
      </c>
      <c r="E31" s="106" t="s">
        <v>88</v>
      </c>
      <c r="F31" s="206">
        <v>106189</v>
      </c>
      <c r="G31" s="107"/>
      <c r="H31" s="207">
        <v>41823.938194444447</v>
      </c>
      <c r="I31" s="165">
        <v>41824.243055555555</v>
      </c>
      <c r="J31" s="107">
        <f>SUM(I31-H31)*24</f>
        <v>7.316666666592937</v>
      </c>
      <c r="K31" s="107">
        <f>SUM(I31-H31)*24</f>
        <v>7.316666666592937</v>
      </c>
      <c r="L31" s="200" t="s">
        <v>90</v>
      </c>
      <c r="M31" s="201" t="s">
        <v>90</v>
      </c>
      <c r="N31" s="201" t="s">
        <v>90</v>
      </c>
      <c r="O31" s="202" t="s">
        <v>17</v>
      </c>
      <c r="P31" s="203"/>
      <c r="Q31" s="35">
        <f t="shared" si="0"/>
        <v>1</v>
      </c>
      <c r="R31" s="35" t="str">
        <f t="shared" si="1"/>
        <v/>
      </c>
      <c r="S31" s="35" t="str">
        <f t="shared" si="2"/>
        <v/>
      </c>
      <c r="T31" s="36">
        <f t="shared" si="28"/>
        <v>1</v>
      </c>
      <c r="U31" s="30"/>
      <c r="V31" s="30"/>
      <c r="W31" s="30"/>
    </row>
    <row r="32" spans="1:23" s="34" customFormat="1" ht="15">
      <c r="A32" s="168">
        <v>17</v>
      </c>
      <c r="B32" s="169">
        <v>41824.243055555555</v>
      </c>
      <c r="C32" s="170">
        <v>41824.333333333336</v>
      </c>
      <c r="D32" s="160">
        <f t="shared" ref="D32" si="32">SUM(C32-B32)*24</f>
        <v>2.1666666667442769</v>
      </c>
      <c r="E32" s="171" t="s">
        <v>76</v>
      </c>
      <c r="F32" s="172"/>
      <c r="G32" s="173"/>
      <c r="H32" s="194"/>
      <c r="I32" s="194"/>
      <c r="J32" s="195">
        <f t="shared" ref="J32" si="33">SUM(I32-H32)*24</f>
        <v>0</v>
      </c>
      <c r="K32" s="160">
        <f t="shared" ref="K32" si="34">SUM(I32-H32)*24</f>
        <v>0</v>
      </c>
      <c r="L32" s="196"/>
      <c r="M32" s="197"/>
      <c r="N32" s="197"/>
      <c r="O32" s="198" t="s">
        <v>21</v>
      </c>
      <c r="P32" s="199"/>
      <c r="Q32" s="35"/>
      <c r="R32" s="35">
        <f t="shared" si="1"/>
        <v>1</v>
      </c>
      <c r="S32" s="35" t="str">
        <f t="shared" si="2"/>
        <v/>
      </c>
      <c r="T32" s="36">
        <f t="shared" si="28"/>
        <v>1</v>
      </c>
      <c r="U32" s="30"/>
      <c r="V32" s="30"/>
      <c r="W32" s="30"/>
    </row>
    <row r="33" spans="1:23" s="34" customFormat="1">
      <c r="A33" s="146"/>
      <c r="B33" s="147"/>
      <c r="C33" s="147"/>
      <c r="D33" s="148">
        <f>SUM(D29:D32)</f>
        <v>207.3666666666395</v>
      </c>
      <c r="E33" s="149"/>
      <c r="F33" s="150"/>
      <c r="G33" s="151"/>
      <c r="H33" s="152"/>
      <c r="I33" s="152"/>
      <c r="J33" s="153">
        <f>SUM(J29:J32)</f>
        <v>8.6333333333604969</v>
      </c>
      <c r="K33" s="153">
        <f>SUM(K29:K32)</f>
        <v>8.6333333333604969</v>
      </c>
      <c r="L33" s="154"/>
      <c r="M33" s="155"/>
      <c r="N33" s="155"/>
      <c r="O33" s="156"/>
      <c r="P33" s="94"/>
      <c r="Q33" s="35" t="str">
        <f t="shared" si="0"/>
        <v/>
      </c>
      <c r="R33" s="35" t="str">
        <f t="shared" si="1"/>
        <v/>
      </c>
      <c r="S33" s="35" t="str">
        <f t="shared" si="2"/>
        <v/>
      </c>
      <c r="T33" s="36">
        <f t="shared" si="28"/>
        <v>0</v>
      </c>
      <c r="U33" s="30"/>
      <c r="V33" s="30"/>
      <c r="W33" s="30"/>
    </row>
    <row r="34" spans="1:23" s="34" customFormat="1">
      <c r="A34" s="95">
        <v>18</v>
      </c>
      <c r="B34" s="96">
        <v>41828.333333333336</v>
      </c>
      <c r="C34" s="189">
        <v>41831.55972222222</v>
      </c>
      <c r="D34" s="160">
        <f t="shared" ref="D34:D35" si="35">SUM(C34-B34)*24</f>
        <v>77.43333333323244</v>
      </c>
      <c r="E34" s="98" t="s">
        <v>91</v>
      </c>
      <c r="F34" s="99">
        <v>106195</v>
      </c>
      <c r="G34" s="100"/>
      <c r="H34" s="157">
        <v>41831.55972222222</v>
      </c>
      <c r="I34" s="101">
        <v>41831.582638888889</v>
      </c>
      <c r="J34" s="160">
        <f>SUM(I34-H34)*24</f>
        <v>0.55000000004656613</v>
      </c>
      <c r="K34" s="160">
        <f>SUM(I34-H34)*24</f>
        <v>0.55000000004656613</v>
      </c>
      <c r="L34" s="102" t="s">
        <v>68</v>
      </c>
      <c r="M34" s="103" t="s">
        <v>68</v>
      </c>
      <c r="N34" s="103" t="s">
        <v>68</v>
      </c>
      <c r="O34" s="104" t="s">
        <v>17</v>
      </c>
      <c r="P34" s="135"/>
      <c r="Q34" s="35">
        <f t="shared" si="0"/>
        <v>1</v>
      </c>
      <c r="R34" s="35" t="str">
        <f t="shared" si="1"/>
        <v/>
      </c>
      <c r="S34" s="35" t="str">
        <f t="shared" si="2"/>
        <v/>
      </c>
      <c r="T34" s="36">
        <f t="shared" ref="T34:T41" si="36">SUM(Q34:S34)</f>
        <v>1</v>
      </c>
      <c r="U34" s="30"/>
      <c r="V34" s="30"/>
      <c r="W34" s="30"/>
    </row>
    <row r="35" spans="1:23" s="34" customFormat="1" ht="15">
      <c r="A35" s="105">
        <v>19</v>
      </c>
      <c r="B35" s="161">
        <v>41831.582638888889</v>
      </c>
      <c r="C35" s="106">
        <v>41834.333333333336</v>
      </c>
      <c r="D35" s="107">
        <f t="shared" si="35"/>
        <v>66.016666666720994</v>
      </c>
      <c r="E35" s="108" t="s">
        <v>76</v>
      </c>
      <c r="F35" s="109"/>
      <c r="G35" s="110"/>
      <c r="H35" s="158"/>
      <c r="I35" s="158"/>
      <c r="J35" s="167">
        <f t="shared" ref="J35" si="37">SUM(I35-H35)*24</f>
        <v>0</v>
      </c>
      <c r="K35" s="186">
        <f t="shared" ref="K35" si="38">SUM(I35-H35)*24</f>
        <v>0</v>
      </c>
      <c r="L35" s="111"/>
      <c r="M35" s="112"/>
      <c r="N35" s="112"/>
      <c r="O35" s="113" t="s">
        <v>21</v>
      </c>
      <c r="P35" s="136"/>
      <c r="Q35" s="35"/>
      <c r="R35" s="35">
        <f t="shared" si="1"/>
        <v>1</v>
      </c>
      <c r="S35" s="35" t="str">
        <f t="shared" si="2"/>
        <v/>
      </c>
      <c r="T35" s="36">
        <f t="shared" si="36"/>
        <v>1</v>
      </c>
      <c r="U35" s="30"/>
      <c r="V35" s="30"/>
      <c r="W35" s="30"/>
    </row>
    <row r="36" spans="1:23" s="34" customFormat="1">
      <c r="A36" s="146"/>
      <c r="B36" s="147"/>
      <c r="C36" s="147"/>
      <c r="D36" s="148">
        <f>SUM(D34:D35)</f>
        <v>143.44999999995343</v>
      </c>
      <c r="E36" s="149"/>
      <c r="F36" s="150"/>
      <c r="G36" s="151"/>
      <c r="H36" s="152"/>
      <c r="I36" s="152"/>
      <c r="J36" s="153">
        <f>SUM(J34:J35)</f>
        <v>0.55000000004656613</v>
      </c>
      <c r="K36" s="153">
        <f>SUM(K34:K35)</f>
        <v>0.55000000004656613</v>
      </c>
      <c r="L36" s="154"/>
      <c r="M36" s="155"/>
      <c r="N36" s="155"/>
      <c r="O36" s="156"/>
      <c r="P36" s="94"/>
      <c r="Q36" s="35" t="str">
        <f t="shared" si="0"/>
        <v/>
      </c>
      <c r="R36" s="35" t="str">
        <f t="shared" si="1"/>
        <v/>
      </c>
      <c r="S36" s="35" t="str">
        <f t="shared" si="2"/>
        <v/>
      </c>
      <c r="T36" s="36">
        <f t="shared" si="36"/>
        <v>0</v>
      </c>
      <c r="U36" s="30"/>
      <c r="V36" s="30"/>
      <c r="W36" s="30"/>
    </row>
    <row r="37" spans="1:23" s="34" customFormat="1">
      <c r="A37" s="105">
        <v>20</v>
      </c>
      <c r="B37" s="164">
        <v>41836.333333333336</v>
      </c>
      <c r="C37" s="106">
        <v>41837.45208333333</v>
      </c>
      <c r="D37" s="107">
        <f>SUM(C37-B37)*24</f>
        <v>26.849999999860302</v>
      </c>
      <c r="E37" s="108" t="s">
        <v>92</v>
      </c>
      <c r="F37" s="109">
        <v>106202</v>
      </c>
      <c r="G37" s="110"/>
      <c r="H37" s="106">
        <v>41837.45208333333</v>
      </c>
      <c r="I37" s="165">
        <v>41837.491666666669</v>
      </c>
      <c r="J37" s="107">
        <f>SUM(I37-H37)*24</f>
        <v>0.95000000012805685</v>
      </c>
      <c r="K37" s="107">
        <f>SUM(I37-H37)*24</f>
        <v>0.95000000012805685</v>
      </c>
      <c r="L37" s="111" t="s">
        <v>95</v>
      </c>
      <c r="M37" s="112" t="s">
        <v>95</v>
      </c>
      <c r="N37" s="112" t="s">
        <v>95</v>
      </c>
      <c r="O37" s="113" t="s">
        <v>17</v>
      </c>
      <c r="P37" s="136"/>
      <c r="Q37" s="35">
        <f t="shared" si="0"/>
        <v>1</v>
      </c>
      <c r="R37" s="35" t="str">
        <f t="shared" si="1"/>
        <v/>
      </c>
      <c r="S37" s="35" t="str">
        <f t="shared" si="2"/>
        <v/>
      </c>
      <c r="T37" s="36">
        <f t="shared" si="36"/>
        <v>1</v>
      </c>
      <c r="U37" s="30"/>
      <c r="V37" s="30"/>
      <c r="W37" s="30"/>
    </row>
    <row r="38" spans="1:23" s="34" customFormat="1">
      <c r="A38" s="95">
        <v>21</v>
      </c>
      <c r="B38" s="96">
        <v>41837.491666666669</v>
      </c>
      <c r="C38" s="189">
        <v>41839.40625</v>
      </c>
      <c r="D38" s="160">
        <f t="shared" ref="D38" si="39">SUM(C38-B38)*24</f>
        <v>45.949999999953434</v>
      </c>
      <c r="E38" s="98" t="s">
        <v>93</v>
      </c>
      <c r="F38" s="99">
        <v>106205</v>
      </c>
      <c r="G38" s="100"/>
      <c r="H38" s="157">
        <v>41839.40625</v>
      </c>
      <c r="I38" s="101">
        <v>41839.430555555555</v>
      </c>
      <c r="J38" s="195">
        <f t="shared" ref="J38" si="40">SUM(I38-H38)*24</f>
        <v>0.58333333331393078</v>
      </c>
      <c r="K38" s="160">
        <f t="shared" ref="K38" si="41">SUM(I38-H38)*24</f>
        <v>0.58333333331393078</v>
      </c>
      <c r="L38" s="102" t="s">
        <v>23</v>
      </c>
      <c r="M38" s="103" t="s">
        <v>23</v>
      </c>
      <c r="N38" s="103" t="s">
        <v>23</v>
      </c>
      <c r="O38" s="104" t="s">
        <v>17</v>
      </c>
      <c r="P38" s="135"/>
      <c r="Q38" s="35">
        <f t="shared" si="0"/>
        <v>1</v>
      </c>
      <c r="R38" s="35" t="str">
        <f t="shared" si="1"/>
        <v/>
      </c>
      <c r="S38" s="35" t="str">
        <f t="shared" si="2"/>
        <v/>
      </c>
      <c r="T38" s="36">
        <f t="shared" si="36"/>
        <v>1</v>
      </c>
      <c r="U38" s="30"/>
      <c r="V38" s="30"/>
      <c r="W38" s="30"/>
    </row>
    <row r="39" spans="1:23" s="34" customFormat="1">
      <c r="A39" s="204">
        <v>22</v>
      </c>
      <c r="B39" s="108">
        <v>41839.430555555555</v>
      </c>
      <c r="C39" s="205">
        <v>41839.706250000003</v>
      </c>
      <c r="D39" s="107">
        <f>SUM(C39-B39)*24</f>
        <v>6.6166666667559184</v>
      </c>
      <c r="E39" s="106" t="s">
        <v>94</v>
      </c>
      <c r="F39" s="206">
        <v>106208</v>
      </c>
      <c r="G39" s="107"/>
      <c r="H39" s="207">
        <v>41839.706250000003</v>
      </c>
      <c r="I39" s="165">
        <v>41839.773611111108</v>
      </c>
      <c r="J39" s="107">
        <f>SUM(I39-H39)*24</f>
        <v>1.6166666665230878</v>
      </c>
      <c r="K39" s="107">
        <f>SUM(I39-H39)*24</f>
        <v>1.6166666665230878</v>
      </c>
      <c r="L39" s="200" t="s">
        <v>22</v>
      </c>
      <c r="M39" s="201" t="s">
        <v>22</v>
      </c>
      <c r="N39" s="201" t="s">
        <v>22</v>
      </c>
      <c r="O39" s="202" t="s">
        <v>17</v>
      </c>
      <c r="P39" s="203"/>
      <c r="Q39" s="35">
        <f t="shared" si="0"/>
        <v>1</v>
      </c>
      <c r="R39" s="35" t="str">
        <f t="shared" si="1"/>
        <v/>
      </c>
      <c r="S39" s="35" t="str">
        <f t="shared" si="2"/>
        <v/>
      </c>
      <c r="T39" s="36">
        <f t="shared" si="36"/>
        <v>1</v>
      </c>
      <c r="U39" s="30"/>
      <c r="V39" s="30"/>
      <c r="W39" s="30"/>
    </row>
    <row r="40" spans="1:23" s="34" customFormat="1" ht="15">
      <c r="A40" s="168">
        <v>23</v>
      </c>
      <c r="B40" s="169">
        <v>41839.773611111108</v>
      </c>
      <c r="C40" s="170">
        <v>41842.333333333336</v>
      </c>
      <c r="D40" s="160">
        <f t="shared" ref="D40" si="42">SUM(C40-B40)*24</f>
        <v>61.433333333465271</v>
      </c>
      <c r="E40" s="171" t="s">
        <v>76</v>
      </c>
      <c r="F40" s="172"/>
      <c r="G40" s="173"/>
      <c r="H40" s="194"/>
      <c r="I40" s="194"/>
      <c r="J40" s="195">
        <f t="shared" ref="J40" si="43">SUM(I40-H40)*24</f>
        <v>0</v>
      </c>
      <c r="K40" s="160">
        <f t="shared" ref="K40" si="44">SUM(I40-H40)*24</f>
        <v>0</v>
      </c>
      <c r="L40" s="196"/>
      <c r="M40" s="197"/>
      <c r="N40" s="197"/>
      <c r="O40" s="198" t="s">
        <v>21</v>
      </c>
      <c r="P40" s="199"/>
      <c r="Q40" s="35"/>
      <c r="R40" s="35">
        <f t="shared" si="1"/>
        <v>1</v>
      </c>
      <c r="S40" s="35" t="str">
        <f t="shared" si="2"/>
        <v/>
      </c>
      <c r="T40" s="36">
        <f t="shared" si="36"/>
        <v>1</v>
      </c>
      <c r="U40" s="30"/>
      <c r="V40" s="30"/>
      <c r="W40" s="30"/>
    </row>
    <row r="41" spans="1:23" s="34" customFormat="1">
      <c r="A41" s="146"/>
      <c r="B41" s="147"/>
      <c r="C41" s="147"/>
      <c r="D41" s="148">
        <f>SUM(D37:D40)</f>
        <v>140.85000000003492</v>
      </c>
      <c r="E41" s="149"/>
      <c r="F41" s="150"/>
      <c r="G41" s="151"/>
      <c r="H41" s="152"/>
      <c r="I41" s="152"/>
      <c r="J41" s="153">
        <f>SUM(J37:J40)</f>
        <v>3.1499999999650754</v>
      </c>
      <c r="K41" s="153">
        <f>SUM(K37:K40)</f>
        <v>3.1499999999650754</v>
      </c>
      <c r="L41" s="154"/>
      <c r="M41" s="155"/>
      <c r="N41" s="155"/>
      <c r="O41" s="156"/>
      <c r="P41" s="94"/>
      <c r="Q41" s="35" t="str">
        <f t="shared" si="0"/>
        <v/>
      </c>
      <c r="R41" s="35" t="str">
        <f t="shared" si="1"/>
        <v/>
      </c>
      <c r="S41" s="35" t="str">
        <f t="shared" si="2"/>
        <v/>
      </c>
      <c r="T41" s="36">
        <f t="shared" si="36"/>
        <v>0</v>
      </c>
      <c r="U41" s="30"/>
      <c r="V41" s="30"/>
      <c r="W41" s="30"/>
    </row>
    <row r="42" spans="1:23" s="34" customFormat="1">
      <c r="A42" s="95">
        <v>24</v>
      </c>
      <c r="B42" s="96">
        <v>41843.333333333336</v>
      </c>
      <c r="C42" s="189">
        <v>41846.049305555556</v>
      </c>
      <c r="D42" s="160">
        <f t="shared" ref="D42" si="45">SUM(C42-B42)*24</f>
        <v>65.183333333290648</v>
      </c>
      <c r="E42" s="98" t="s">
        <v>96</v>
      </c>
      <c r="F42" s="99">
        <v>106214</v>
      </c>
      <c r="G42" s="100"/>
      <c r="H42" s="157">
        <v>41846.049305555556</v>
      </c>
      <c r="I42" s="101">
        <v>41846.301388888889</v>
      </c>
      <c r="J42" s="195">
        <f t="shared" ref="J42" si="46">SUM(I42-H42)*24</f>
        <v>6.0499999999883585</v>
      </c>
      <c r="K42" s="160">
        <f t="shared" ref="K42" si="47">SUM(I42-H42)*24</f>
        <v>6.0499999999883585</v>
      </c>
      <c r="L42" s="102" t="s">
        <v>74</v>
      </c>
      <c r="M42" s="103" t="s">
        <v>74</v>
      </c>
      <c r="N42" s="103" t="s">
        <v>74</v>
      </c>
      <c r="O42" s="104" t="s">
        <v>17</v>
      </c>
      <c r="P42" s="135"/>
      <c r="Q42" s="35">
        <f t="shared" si="0"/>
        <v>1</v>
      </c>
      <c r="R42" s="35" t="str">
        <f t="shared" si="1"/>
        <v/>
      </c>
      <c r="S42" s="35" t="str">
        <f t="shared" si="2"/>
        <v/>
      </c>
      <c r="T42" s="36">
        <f t="shared" ref="T42:T45" si="48">SUM(Q42:S42)</f>
        <v>1</v>
      </c>
      <c r="U42" s="30"/>
      <c r="V42" s="30"/>
      <c r="W42" s="30"/>
    </row>
    <row r="43" spans="1:23" s="34" customFormat="1">
      <c r="A43" s="204">
        <v>25</v>
      </c>
      <c r="B43" s="108">
        <v>41846.301388888889</v>
      </c>
      <c r="C43" s="205">
        <v>41847.035416666666</v>
      </c>
      <c r="D43" s="107">
        <f>SUM(C43-B43)*24</f>
        <v>17.616666666639503</v>
      </c>
      <c r="E43" s="106" t="s">
        <v>97</v>
      </c>
      <c r="F43" s="206">
        <v>106215</v>
      </c>
      <c r="G43" s="107"/>
      <c r="H43" s="207">
        <v>41847.035416666666</v>
      </c>
      <c r="I43" s="165">
        <v>41847.059027777781</v>
      </c>
      <c r="J43" s="107">
        <f>SUM(I43-H43)*24</f>
        <v>0.56666666676755995</v>
      </c>
      <c r="K43" s="107">
        <f>SUM(I43-H43)*24</f>
        <v>0.56666666676755995</v>
      </c>
      <c r="L43" s="200" t="s">
        <v>22</v>
      </c>
      <c r="M43" s="201" t="s">
        <v>22</v>
      </c>
      <c r="N43" s="201" t="s">
        <v>22</v>
      </c>
      <c r="O43" s="202" t="s">
        <v>17</v>
      </c>
      <c r="P43" s="203"/>
      <c r="Q43" s="35">
        <f t="shared" si="0"/>
        <v>1</v>
      </c>
      <c r="R43" s="35" t="str">
        <f t="shared" si="1"/>
        <v/>
      </c>
      <c r="S43" s="35" t="str">
        <f t="shared" si="2"/>
        <v/>
      </c>
      <c r="T43" s="36">
        <f t="shared" si="48"/>
        <v>1</v>
      </c>
      <c r="U43" s="30"/>
      <c r="V43" s="30"/>
      <c r="W43" s="30"/>
    </row>
    <row r="44" spans="1:23" s="34" customFormat="1" ht="15">
      <c r="A44" s="168">
        <v>26</v>
      </c>
      <c r="B44" s="169">
        <v>41847.059027777781</v>
      </c>
      <c r="C44" s="170">
        <v>41849.333333333336</v>
      </c>
      <c r="D44" s="160">
        <f t="shared" ref="D44" si="49">SUM(C44-B44)*24</f>
        <v>54.583333333313931</v>
      </c>
      <c r="E44" s="171" t="s">
        <v>76</v>
      </c>
      <c r="F44" s="172"/>
      <c r="G44" s="173"/>
      <c r="H44" s="194"/>
      <c r="I44" s="194"/>
      <c r="J44" s="195">
        <f t="shared" ref="J44" si="50">SUM(I44-H44)*24</f>
        <v>0</v>
      </c>
      <c r="K44" s="160">
        <f t="shared" ref="K44" si="51">SUM(I44-H44)*24</f>
        <v>0</v>
      </c>
      <c r="L44" s="196"/>
      <c r="M44" s="197"/>
      <c r="N44" s="197"/>
      <c r="O44" s="198" t="s">
        <v>21</v>
      </c>
      <c r="P44" s="199"/>
      <c r="Q44" s="35"/>
      <c r="R44" s="35">
        <f t="shared" si="1"/>
        <v>1</v>
      </c>
      <c r="S44" s="35" t="str">
        <f t="shared" si="2"/>
        <v/>
      </c>
      <c r="T44" s="36">
        <f t="shared" si="48"/>
        <v>1</v>
      </c>
      <c r="U44" s="30"/>
      <c r="V44" s="30"/>
      <c r="W44" s="30"/>
    </row>
    <row r="45" spans="1:23" s="34" customFormat="1">
      <c r="A45" s="146"/>
      <c r="B45" s="147"/>
      <c r="C45" s="147"/>
      <c r="D45" s="148">
        <f>SUM(D42:D44)</f>
        <v>137.38333333324408</v>
      </c>
      <c r="E45" s="149"/>
      <c r="F45" s="150"/>
      <c r="G45" s="151"/>
      <c r="H45" s="152"/>
      <c r="I45" s="152"/>
      <c r="J45" s="153">
        <f>SUM(J42:J44)</f>
        <v>6.6166666667559184</v>
      </c>
      <c r="K45" s="153">
        <f>SUM(K42:K44)</f>
        <v>6.6166666667559184</v>
      </c>
      <c r="L45" s="154"/>
      <c r="M45" s="155"/>
      <c r="N45" s="155"/>
      <c r="O45" s="156"/>
      <c r="P45" s="94"/>
      <c r="Q45" s="35" t="str">
        <f t="shared" si="0"/>
        <v/>
      </c>
      <c r="R45" s="35" t="str">
        <f t="shared" si="1"/>
        <v/>
      </c>
      <c r="S45" s="35" t="str">
        <f t="shared" si="2"/>
        <v/>
      </c>
      <c r="T45" s="36">
        <f t="shared" si="48"/>
        <v>0</v>
      </c>
      <c r="U45" s="30"/>
      <c r="V45" s="30"/>
      <c r="W45" s="30"/>
    </row>
    <row r="46" spans="1:23" s="34" customFormat="1">
      <c r="A46" s="95">
        <v>27</v>
      </c>
      <c r="B46" s="96">
        <v>41850.333333333336</v>
      </c>
      <c r="C46" s="189">
        <v>41850.396527777775</v>
      </c>
      <c r="D46" s="160">
        <f t="shared" ref="D46" si="52">SUM(C46-B46)*24</f>
        <v>1.5166666665463708</v>
      </c>
      <c r="E46" s="98" t="s">
        <v>98</v>
      </c>
      <c r="F46" s="99">
        <v>106217</v>
      </c>
      <c r="G46" s="100"/>
      <c r="H46" s="157">
        <v>41850.396527777775</v>
      </c>
      <c r="I46" s="101">
        <v>41850.417361111111</v>
      </c>
      <c r="J46" s="160">
        <f>SUM(I46-H46)*24</f>
        <v>0.50000000005820766</v>
      </c>
      <c r="K46" s="160">
        <f t="shared" ref="K46" si="53">SUM(I46-H46)*24</f>
        <v>0.50000000005820766</v>
      </c>
      <c r="L46" s="102" t="s">
        <v>24</v>
      </c>
      <c r="M46" s="103" t="s">
        <v>24</v>
      </c>
      <c r="N46" s="103" t="s">
        <v>24</v>
      </c>
      <c r="O46" s="104" t="s">
        <v>17</v>
      </c>
      <c r="P46" s="135"/>
      <c r="Q46" s="35">
        <f t="shared" si="0"/>
        <v>1</v>
      </c>
      <c r="R46" s="35" t="str">
        <f t="shared" si="1"/>
        <v/>
      </c>
      <c r="S46" s="35" t="str">
        <f t="shared" si="2"/>
        <v/>
      </c>
      <c r="T46" s="36">
        <f t="shared" ref="T46:T64" si="54">SUM(Q46:S46)</f>
        <v>1</v>
      </c>
      <c r="U46" s="30"/>
      <c r="V46" s="30"/>
      <c r="W46" s="30"/>
    </row>
    <row r="47" spans="1:23" s="34" customFormat="1">
      <c r="A47" s="204">
        <v>28</v>
      </c>
      <c r="B47" s="108">
        <v>41850.417361111111</v>
      </c>
      <c r="C47" s="205">
        <v>41852.887499999997</v>
      </c>
      <c r="D47" s="107">
        <f>SUM(C47-B47)*24</f>
        <v>59.283333333267365</v>
      </c>
      <c r="E47" s="106" t="s">
        <v>99</v>
      </c>
      <c r="F47" s="206">
        <v>106221</v>
      </c>
      <c r="G47" s="107"/>
      <c r="H47" s="207">
        <v>41852.887499999997</v>
      </c>
      <c r="I47" s="165">
        <v>41852.911805555559</v>
      </c>
      <c r="J47" s="107">
        <f>SUM(I47-H47)*24</f>
        <v>0.58333333348855376</v>
      </c>
      <c r="K47" s="107">
        <f>SUM(I47-H47)*24</f>
        <v>0.58333333348855376</v>
      </c>
      <c r="L47" s="200" t="s">
        <v>23</v>
      </c>
      <c r="M47" s="201" t="s">
        <v>23</v>
      </c>
      <c r="N47" s="201" t="s">
        <v>23</v>
      </c>
      <c r="O47" s="202" t="s">
        <v>17</v>
      </c>
      <c r="P47" s="203"/>
      <c r="Q47" s="35">
        <f t="shared" si="0"/>
        <v>1</v>
      </c>
      <c r="R47" s="35" t="str">
        <f t="shared" si="1"/>
        <v/>
      </c>
      <c r="S47" s="35" t="str">
        <f t="shared" si="2"/>
        <v/>
      </c>
      <c r="T47" s="36">
        <f t="shared" si="54"/>
        <v>1</v>
      </c>
      <c r="U47" s="30"/>
      <c r="V47" s="30"/>
      <c r="W47" s="30"/>
    </row>
    <row r="48" spans="1:23" s="34" customFormat="1" ht="15">
      <c r="A48" s="168">
        <v>29</v>
      </c>
      <c r="B48" s="169">
        <v>41852.911805555559</v>
      </c>
      <c r="C48" s="170">
        <v>41856.333333333336</v>
      </c>
      <c r="D48" s="160">
        <f t="shared" ref="D48" si="55">SUM(C48-B48)*24</f>
        <v>82.116666666639503</v>
      </c>
      <c r="E48" s="171" t="s">
        <v>76</v>
      </c>
      <c r="F48" s="172"/>
      <c r="G48" s="173"/>
      <c r="H48" s="194"/>
      <c r="I48" s="194"/>
      <c r="J48" s="195">
        <f t="shared" ref="J48" si="56">SUM(I48-H48)*24</f>
        <v>0</v>
      </c>
      <c r="K48" s="160">
        <f t="shared" ref="K48" si="57">SUM(I48-H48)*24</f>
        <v>0</v>
      </c>
      <c r="L48" s="196"/>
      <c r="M48" s="197"/>
      <c r="N48" s="197"/>
      <c r="O48" s="198" t="s">
        <v>21</v>
      </c>
      <c r="P48" s="199"/>
      <c r="Q48" s="35"/>
      <c r="R48" s="35">
        <f t="shared" si="1"/>
        <v>1</v>
      </c>
      <c r="S48" s="35" t="str">
        <f t="shared" si="2"/>
        <v/>
      </c>
      <c r="T48" s="36">
        <f t="shared" si="54"/>
        <v>1</v>
      </c>
      <c r="U48" s="30"/>
      <c r="V48" s="30"/>
      <c r="W48" s="30"/>
    </row>
    <row r="49" spans="1:23" s="34" customFormat="1">
      <c r="A49" s="146"/>
      <c r="B49" s="147"/>
      <c r="C49" s="147"/>
      <c r="D49" s="148">
        <f>SUM(D46:D48)</f>
        <v>142.91666666645324</v>
      </c>
      <c r="E49" s="149"/>
      <c r="F49" s="150"/>
      <c r="G49" s="151"/>
      <c r="H49" s="152"/>
      <c r="I49" s="152"/>
      <c r="J49" s="153">
        <f>SUM(J46:J48)</f>
        <v>1.0833333335467614</v>
      </c>
      <c r="K49" s="153">
        <f>SUM(K46:K48)</f>
        <v>1.0833333335467614</v>
      </c>
      <c r="L49" s="154"/>
      <c r="M49" s="155"/>
      <c r="N49" s="155"/>
      <c r="O49" s="156"/>
      <c r="P49" s="94"/>
      <c r="Q49" s="35" t="str">
        <f t="shared" si="0"/>
        <v/>
      </c>
      <c r="R49" s="35" t="str">
        <f t="shared" si="1"/>
        <v/>
      </c>
      <c r="S49" s="35" t="str">
        <f t="shared" si="2"/>
        <v/>
      </c>
      <c r="T49" s="36">
        <f t="shared" si="54"/>
        <v>0</v>
      </c>
      <c r="U49" s="30"/>
      <c r="V49" s="30"/>
      <c r="W49" s="30"/>
    </row>
    <row r="50" spans="1:23" s="34" customFormat="1">
      <c r="A50" s="95">
        <v>30</v>
      </c>
      <c r="B50" s="96">
        <v>41857.333333333336</v>
      </c>
      <c r="C50" s="189">
        <v>41858.671527777777</v>
      </c>
      <c r="D50" s="160">
        <f t="shared" ref="D50" si="58">SUM(C50-B50)*24</f>
        <v>32.116666666581295</v>
      </c>
      <c r="E50" s="98" t="s">
        <v>100</v>
      </c>
      <c r="F50" s="99">
        <v>106223</v>
      </c>
      <c r="G50" s="100"/>
      <c r="H50" s="157">
        <v>41858.671527777777</v>
      </c>
      <c r="I50" s="101">
        <v>41858.719444444447</v>
      </c>
      <c r="J50" s="195">
        <f t="shared" ref="J50" si="59">SUM(I50-H50)*24</f>
        <v>1.1500000000814907</v>
      </c>
      <c r="K50" s="160">
        <f t="shared" ref="K50" si="60">SUM(I50-H50)*24</f>
        <v>1.1500000000814907</v>
      </c>
      <c r="L50" s="102" t="s">
        <v>74</v>
      </c>
      <c r="M50" s="103" t="s">
        <v>74</v>
      </c>
      <c r="N50" s="103" t="s">
        <v>74</v>
      </c>
      <c r="O50" s="104" t="s">
        <v>17</v>
      </c>
      <c r="P50" s="135"/>
      <c r="Q50" s="35">
        <f t="shared" si="0"/>
        <v>1</v>
      </c>
      <c r="R50" s="35" t="str">
        <f t="shared" si="1"/>
        <v/>
      </c>
      <c r="S50" s="35" t="str">
        <f t="shared" si="2"/>
        <v/>
      </c>
      <c r="T50" s="36">
        <f t="shared" si="54"/>
        <v>1</v>
      </c>
      <c r="U50" s="30"/>
      <c r="V50" s="30"/>
      <c r="W50" s="30"/>
    </row>
    <row r="51" spans="1:23" s="34" customFormat="1">
      <c r="A51" s="105">
        <v>31</v>
      </c>
      <c r="B51" s="164">
        <v>41858.719444444447</v>
      </c>
      <c r="C51" s="106">
        <v>41860.34375</v>
      </c>
      <c r="D51" s="107">
        <f>SUM(C51-B51)*24</f>
        <v>38.983333333279006</v>
      </c>
      <c r="E51" s="108" t="s">
        <v>101</v>
      </c>
      <c r="F51" s="109">
        <v>106226</v>
      </c>
      <c r="G51" s="110"/>
      <c r="H51" s="106">
        <v>41860.34375</v>
      </c>
      <c r="I51" s="165">
        <v>41860.49722222222</v>
      </c>
      <c r="J51" s="107">
        <f>SUM(I51-H51)*24</f>
        <v>3.6833333332906477</v>
      </c>
      <c r="K51" s="107">
        <f>SUM(I51-H51)*24</f>
        <v>3.6833333332906477</v>
      </c>
      <c r="L51" s="111" t="s">
        <v>74</v>
      </c>
      <c r="M51" s="112" t="s">
        <v>74</v>
      </c>
      <c r="N51" s="112" t="s">
        <v>74</v>
      </c>
      <c r="O51" s="113" t="s">
        <v>17</v>
      </c>
      <c r="P51" s="136"/>
      <c r="Q51" s="35">
        <f t="shared" si="0"/>
        <v>1</v>
      </c>
      <c r="R51" s="35" t="str">
        <f t="shared" si="1"/>
        <v/>
      </c>
      <c r="S51" s="35" t="str">
        <f t="shared" si="2"/>
        <v/>
      </c>
      <c r="T51" s="36">
        <f t="shared" ref="T51:T52" si="61">SUM(Q51:S51)</f>
        <v>1</v>
      </c>
      <c r="U51" s="30"/>
      <c r="V51" s="30"/>
      <c r="W51" s="30"/>
    </row>
    <row r="52" spans="1:23" s="34" customFormat="1">
      <c r="A52" s="95">
        <v>32</v>
      </c>
      <c r="B52" s="96">
        <v>41860.49722222222</v>
      </c>
      <c r="C52" s="189">
        <v>41862.431944444441</v>
      </c>
      <c r="D52" s="160">
        <f t="shared" ref="D52" si="62">SUM(C52-B52)*24</f>
        <v>46.433333333290648</v>
      </c>
      <c r="E52" s="98" t="s">
        <v>102</v>
      </c>
      <c r="F52" s="99">
        <v>106227</v>
      </c>
      <c r="G52" s="100"/>
      <c r="H52" s="157">
        <v>41862.431944444441</v>
      </c>
      <c r="I52" s="101">
        <v>41862.453472222223</v>
      </c>
      <c r="J52" s="195">
        <f t="shared" ref="J52" si="63">SUM(I52-H52)*24</f>
        <v>0.51666666677920148</v>
      </c>
      <c r="K52" s="160">
        <f t="shared" ref="K52" si="64">SUM(I52-H52)*24</f>
        <v>0.51666666677920148</v>
      </c>
      <c r="L52" s="102" t="s">
        <v>22</v>
      </c>
      <c r="M52" s="103" t="s">
        <v>22</v>
      </c>
      <c r="N52" s="103" t="s">
        <v>22</v>
      </c>
      <c r="O52" s="104" t="s">
        <v>17</v>
      </c>
      <c r="P52" s="135"/>
      <c r="Q52" s="35">
        <f t="shared" si="0"/>
        <v>1</v>
      </c>
      <c r="R52" s="35" t="str">
        <f t="shared" si="1"/>
        <v/>
      </c>
      <c r="S52" s="35" t="str">
        <f t="shared" si="2"/>
        <v/>
      </c>
      <c r="T52" s="36">
        <f t="shared" si="61"/>
        <v>1</v>
      </c>
      <c r="U52" s="30"/>
      <c r="V52" s="30"/>
      <c r="W52" s="30"/>
    </row>
    <row r="53" spans="1:23" s="34" customFormat="1">
      <c r="A53" s="204">
        <v>33</v>
      </c>
      <c r="B53" s="108">
        <v>41862.453472222223</v>
      </c>
      <c r="C53" s="205">
        <v>41862.599305555559</v>
      </c>
      <c r="D53" s="107">
        <f>SUM(C53-B53)*24</f>
        <v>3.5000000000582077</v>
      </c>
      <c r="E53" s="106" t="s">
        <v>103</v>
      </c>
      <c r="F53" s="206">
        <v>106228</v>
      </c>
      <c r="G53" s="107"/>
      <c r="H53" s="207">
        <v>41862.599305555559</v>
      </c>
      <c r="I53" s="165">
        <v>41862.645833333336</v>
      </c>
      <c r="J53" s="107">
        <f>SUM(I53-H53)*24</f>
        <v>1.1166666666395031</v>
      </c>
      <c r="K53" s="107">
        <f>SUM(I53-H53)*24</f>
        <v>1.1166666666395031</v>
      </c>
      <c r="L53" s="200" t="s">
        <v>22</v>
      </c>
      <c r="M53" s="201" t="s">
        <v>22</v>
      </c>
      <c r="N53" s="201" t="s">
        <v>22</v>
      </c>
      <c r="O53" s="202" t="s">
        <v>17</v>
      </c>
      <c r="P53" s="203"/>
      <c r="Q53" s="35">
        <f t="shared" si="0"/>
        <v>1</v>
      </c>
      <c r="R53" s="35" t="str">
        <f t="shared" si="1"/>
        <v/>
      </c>
      <c r="S53" s="35" t="str">
        <f t="shared" si="2"/>
        <v/>
      </c>
      <c r="T53" s="36">
        <f t="shared" si="54"/>
        <v>1</v>
      </c>
      <c r="U53" s="30"/>
      <c r="V53" s="30"/>
      <c r="W53" s="30"/>
    </row>
    <row r="54" spans="1:23" s="34" customFormat="1" ht="15">
      <c r="A54" s="168">
        <v>34</v>
      </c>
      <c r="B54" s="169">
        <v>41862.645833333336</v>
      </c>
      <c r="C54" s="170">
        <v>41863.333333333336</v>
      </c>
      <c r="D54" s="160">
        <f t="shared" ref="D54" si="65">SUM(C54-B54)*24</f>
        <v>16.5</v>
      </c>
      <c r="E54" s="171" t="s">
        <v>76</v>
      </c>
      <c r="F54" s="172"/>
      <c r="G54" s="173"/>
      <c r="H54" s="194"/>
      <c r="I54" s="194"/>
      <c r="J54" s="195">
        <f t="shared" ref="J54" si="66">SUM(I54-H54)*24</f>
        <v>0</v>
      </c>
      <c r="K54" s="160">
        <f t="shared" ref="K54" si="67">SUM(I54-H54)*24</f>
        <v>0</v>
      </c>
      <c r="L54" s="196"/>
      <c r="M54" s="197"/>
      <c r="N54" s="197"/>
      <c r="O54" s="198" t="s">
        <v>21</v>
      </c>
      <c r="P54" s="199"/>
      <c r="Q54" s="35"/>
      <c r="R54" s="35">
        <f t="shared" si="1"/>
        <v>1</v>
      </c>
      <c r="S54" s="35" t="str">
        <f t="shared" si="2"/>
        <v/>
      </c>
      <c r="T54" s="36">
        <f t="shared" si="54"/>
        <v>1</v>
      </c>
      <c r="U54" s="30"/>
      <c r="V54" s="30"/>
      <c r="W54" s="30"/>
    </row>
    <row r="55" spans="1:23" s="34" customFormat="1">
      <c r="A55" s="146"/>
      <c r="B55" s="147"/>
      <c r="C55" s="147"/>
      <c r="D55" s="148">
        <f>SUM(D50:D54)</f>
        <v>137.53333333320916</v>
      </c>
      <c r="E55" s="149"/>
      <c r="F55" s="150"/>
      <c r="G55" s="151"/>
      <c r="H55" s="152"/>
      <c r="I55" s="152"/>
      <c r="J55" s="153">
        <f>SUM(J50:J54)</f>
        <v>6.466666666790843</v>
      </c>
      <c r="K55" s="153">
        <f>SUM(K50:K54)</f>
        <v>6.466666666790843</v>
      </c>
      <c r="L55" s="154"/>
      <c r="M55" s="155"/>
      <c r="N55" s="155"/>
      <c r="O55" s="156"/>
      <c r="P55" s="94"/>
      <c r="Q55" s="35" t="str">
        <f t="shared" si="0"/>
        <v/>
      </c>
      <c r="R55" s="35" t="str">
        <f t="shared" si="1"/>
        <v/>
      </c>
      <c r="S55" s="35" t="str">
        <f t="shared" si="2"/>
        <v/>
      </c>
      <c r="T55" s="36">
        <f t="shared" si="54"/>
        <v>0</v>
      </c>
      <c r="U55" s="30"/>
      <c r="V55" s="30"/>
      <c r="W55" s="30"/>
    </row>
    <row r="56" spans="1:23" s="34" customFormat="1">
      <c r="A56" s="95">
        <v>35</v>
      </c>
      <c r="B56" s="96">
        <v>41864.333333333336</v>
      </c>
      <c r="C56" s="189">
        <v>41865.890277777777</v>
      </c>
      <c r="D56" s="160">
        <f t="shared" ref="D56:D57" si="68">SUM(C56-B56)*24</f>
        <v>37.366666666581295</v>
      </c>
      <c r="E56" s="98" t="s">
        <v>104</v>
      </c>
      <c r="F56" s="99">
        <v>106233</v>
      </c>
      <c r="G56" s="100"/>
      <c r="H56" s="157">
        <v>41865.890277777777</v>
      </c>
      <c r="I56" s="101">
        <v>41865.928472222222</v>
      </c>
      <c r="J56" s="160">
        <f>SUM(I56-H56)*24</f>
        <v>0.91666666668606922</v>
      </c>
      <c r="K56" s="160">
        <f>SUM(I56-H56)*24</f>
        <v>0.91666666668606922</v>
      </c>
      <c r="L56" s="102" t="s">
        <v>24</v>
      </c>
      <c r="M56" s="103" t="s">
        <v>24</v>
      </c>
      <c r="N56" s="103" t="s">
        <v>24</v>
      </c>
      <c r="O56" s="104" t="s">
        <v>17</v>
      </c>
      <c r="P56" s="135"/>
      <c r="Q56" s="35">
        <f t="shared" si="0"/>
        <v>1</v>
      </c>
      <c r="R56" s="35" t="str">
        <f t="shared" si="1"/>
        <v/>
      </c>
      <c r="S56" s="35" t="str">
        <f t="shared" si="2"/>
        <v/>
      </c>
      <c r="T56" s="36">
        <f t="shared" si="54"/>
        <v>1</v>
      </c>
      <c r="U56" s="30"/>
      <c r="V56" s="30"/>
      <c r="W56" s="30"/>
    </row>
    <row r="57" spans="1:23" s="34" customFormat="1" ht="15">
      <c r="A57" s="105">
        <v>36</v>
      </c>
      <c r="B57" s="161">
        <v>41865.928472222222</v>
      </c>
      <c r="C57" s="106">
        <v>41870.333333333336</v>
      </c>
      <c r="D57" s="107">
        <f t="shared" si="68"/>
        <v>105.71666666673264</v>
      </c>
      <c r="E57" s="108" t="s">
        <v>76</v>
      </c>
      <c r="F57" s="109"/>
      <c r="G57" s="110"/>
      <c r="H57" s="158"/>
      <c r="I57" s="158"/>
      <c r="J57" s="167">
        <f t="shared" ref="J57" si="69">SUM(I57-H57)*24</f>
        <v>0</v>
      </c>
      <c r="K57" s="186">
        <f t="shared" ref="K57" si="70">SUM(I57-H57)*24</f>
        <v>0</v>
      </c>
      <c r="L57" s="111"/>
      <c r="M57" s="112"/>
      <c r="N57" s="112"/>
      <c r="O57" s="113" t="s">
        <v>21</v>
      </c>
      <c r="P57" s="136"/>
      <c r="Q57" s="35"/>
      <c r="R57" s="35">
        <f t="shared" si="1"/>
        <v>1</v>
      </c>
      <c r="S57" s="35" t="str">
        <f t="shared" si="2"/>
        <v/>
      </c>
      <c r="T57" s="36">
        <f t="shared" si="54"/>
        <v>1</v>
      </c>
      <c r="U57" s="30"/>
      <c r="V57" s="30"/>
      <c r="W57" s="30"/>
    </row>
    <row r="58" spans="1:23" s="34" customFormat="1">
      <c r="A58" s="146"/>
      <c r="B58" s="147"/>
      <c r="C58" s="147"/>
      <c r="D58" s="148">
        <f>SUM(D56:D57)</f>
        <v>143.08333333331393</v>
      </c>
      <c r="E58" s="149"/>
      <c r="F58" s="150"/>
      <c r="G58" s="151"/>
      <c r="H58" s="152"/>
      <c r="I58" s="152"/>
      <c r="J58" s="153">
        <f>SUM(J56:J57)</f>
        <v>0.91666666668606922</v>
      </c>
      <c r="K58" s="153">
        <f>SUM(K56:K57)</f>
        <v>0.91666666668606922</v>
      </c>
      <c r="L58" s="154"/>
      <c r="M58" s="155"/>
      <c r="N58" s="155"/>
      <c r="O58" s="156"/>
      <c r="P58" s="94"/>
      <c r="Q58" s="35" t="str">
        <f t="shared" si="0"/>
        <v/>
      </c>
      <c r="R58" s="35" t="str">
        <f t="shared" si="1"/>
        <v/>
      </c>
      <c r="S58" s="35" t="str">
        <f t="shared" si="2"/>
        <v/>
      </c>
      <c r="T58" s="36">
        <f t="shared" si="54"/>
        <v>0</v>
      </c>
      <c r="U58" s="30"/>
      <c r="V58" s="30"/>
      <c r="W58" s="30"/>
    </row>
    <row r="59" spans="1:23" s="34" customFormat="1">
      <c r="A59" s="95">
        <v>37</v>
      </c>
      <c r="B59" s="96">
        <v>41871.333333333336</v>
      </c>
      <c r="C59" s="189">
        <v>41871.39166666667</v>
      </c>
      <c r="D59" s="160">
        <f t="shared" ref="D59" si="71">SUM(C59-B59)*24</f>
        <v>1.4000000000232831</v>
      </c>
      <c r="E59" s="98" t="s">
        <v>106</v>
      </c>
      <c r="F59" s="99">
        <v>106237</v>
      </c>
      <c r="G59" s="100"/>
      <c r="H59" s="157">
        <v>41871.39166666667</v>
      </c>
      <c r="I59" s="101">
        <v>41871.494444444441</v>
      </c>
      <c r="J59" s="195">
        <f t="shared" ref="J59" si="72">SUM(I59-H59)*24</f>
        <v>2.4666666664998047</v>
      </c>
      <c r="K59" s="160"/>
      <c r="L59" s="102"/>
      <c r="M59" s="103"/>
      <c r="N59" s="103"/>
      <c r="O59" s="104"/>
      <c r="P59" s="135" t="s">
        <v>105</v>
      </c>
      <c r="Q59" s="35" t="str">
        <f t="shared" si="0"/>
        <v/>
      </c>
      <c r="R59" s="35" t="str">
        <f t="shared" si="1"/>
        <v/>
      </c>
      <c r="S59" s="35" t="str">
        <f t="shared" si="2"/>
        <v/>
      </c>
      <c r="T59" s="36">
        <f t="shared" si="54"/>
        <v>0</v>
      </c>
      <c r="U59" s="30"/>
      <c r="V59" s="30"/>
      <c r="W59" s="30"/>
    </row>
    <row r="60" spans="1:23" s="34" customFormat="1">
      <c r="A60" s="168"/>
      <c r="B60" s="169"/>
      <c r="C60" s="170"/>
      <c r="D60" s="160"/>
      <c r="E60" s="171"/>
      <c r="F60" s="172"/>
      <c r="G60" s="173"/>
      <c r="H60" s="180">
        <v>41871.39166666667</v>
      </c>
      <c r="I60" s="181">
        <v>41871.466666666667</v>
      </c>
      <c r="J60" s="190"/>
      <c r="K60" s="166">
        <f>SUM(I60-H60)*24</f>
        <v>1.7999999999301508</v>
      </c>
      <c r="L60" s="182" t="s">
        <v>66</v>
      </c>
      <c r="M60" s="183" t="s">
        <v>66</v>
      </c>
      <c r="N60" s="183" t="s">
        <v>66</v>
      </c>
      <c r="O60" s="184" t="s">
        <v>17</v>
      </c>
      <c r="P60" s="185"/>
      <c r="Q60" s="35">
        <f>IF($O60="Store Lost",1,"")</f>
        <v>1</v>
      </c>
      <c r="R60" s="35" t="str">
        <f>IF($O60="Scheduled",1,"")</f>
        <v/>
      </c>
      <c r="S60" s="35" t="str">
        <f>IF($O60="Inhibits beam to user",1,"")</f>
        <v/>
      </c>
      <c r="T60" s="36">
        <f>SUM(Q60:S60)</f>
        <v>1</v>
      </c>
      <c r="U60" s="30"/>
      <c r="V60" s="30"/>
      <c r="W60" s="30"/>
    </row>
    <row r="61" spans="1:23" s="34" customFormat="1">
      <c r="A61" s="168"/>
      <c r="B61" s="169"/>
      <c r="C61" s="170"/>
      <c r="D61" s="160"/>
      <c r="E61" s="171"/>
      <c r="F61" s="172"/>
      <c r="G61" s="173"/>
      <c r="H61" s="174">
        <v>41871.466666666667</v>
      </c>
      <c r="I61" s="175">
        <v>41871.494444444441</v>
      </c>
      <c r="J61" s="191"/>
      <c r="K61" s="192">
        <f>SUM(I61-H61)*24</f>
        <v>0.6666666665696539</v>
      </c>
      <c r="L61" s="176" t="s">
        <v>22</v>
      </c>
      <c r="M61" s="177" t="s">
        <v>22</v>
      </c>
      <c r="N61" s="177" t="s">
        <v>22</v>
      </c>
      <c r="O61" s="178" t="s">
        <v>65</v>
      </c>
      <c r="P61" s="179"/>
      <c r="Q61" s="35" t="str">
        <f t="shared" ref="Q61" si="73">IF($O61="Store Lost",1,"")</f>
        <v/>
      </c>
      <c r="R61" s="35" t="str">
        <f>IF($O61="Scheduled",1,"")</f>
        <v/>
      </c>
      <c r="S61" s="35">
        <f>IF($O61="Inhibits beam to user",1,"")</f>
        <v>1</v>
      </c>
      <c r="T61" s="36">
        <f>SUM(Q61:S61)</f>
        <v>1</v>
      </c>
      <c r="U61" s="30"/>
      <c r="V61" s="30"/>
      <c r="W61" s="30"/>
    </row>
    <row r="62" spans="1:23" s="34" customFormat="1">
      <c r="A62" s="204">
        <v>38</v>
      </c>
      <c r="B62" s="108">
        <v>41871.494444444441</v>
      </c>
      <c r="C62" s="205">
        <v>41873.120833333334</v>
      </c>
      <c r="D62" s="107">
        <f>SUM(C62-B62)*24</f>
        <v>39.033333333441988</v>
      </c>
      <c r="E62" s="106" t="s">
        <v>107</v>
      </c>
      <c r="F62" s="206">
        <v>106238</v>
      </c>
      <c r="G62" s="107"/>
      <c r="H62" s="207">
        <v>41873.120833333334</v>
      </c>
      <c r="I62" s="165">
        <v>41873.163194444445</v>
      </c>
      <c r="J62" s="107">
        <f>SUM(I62-H62)*24</f>
        <v>1.0166666666627862</v>
      </c>
      <c r="K62" s="107">
        <f>SUM(I62-H62)*24</f>
        <v>1.0166666666627862</v>
      </c>
      <c r="L62" s="200" t="s">
        <v>22</v>
      </c>
      <c r="M62" s="201" t="s">
        <v>22</v>
      </c>
      <c r="N62" s="201" t="s">
        <v>22</v>
      </c>
      <c r="O62" s="202" t="s">
        <v>17</v>
      </c>
      <c r="P62" s="203"/>
      <c r="Q62" s="35">
        <f t="shared" si="0"/>
        <v>1</v>
      </c>
      <c r="R62" s="35" t="str">
        <f t="shared" si="1"/>
        <v/>
      </c>
      <c r="S62" s="35" t="str">
        <f t="shared" si="2"/>
        <v/>
      </c>
      <c r="T62" s="36">
        <f t="shared" si="54"/>
        <v>1</v>
      </c>
      <c r="U62" s="30"/>
      <c r="V62" s="30"/>
      <c r="W62" s="30"/>
    </row>
    <row r="63" spans="1:23" s="34" customFormat="1" ht="15">
      <c r="A63" s="168">
        <v>39</v>
      </c>
      <c r="B63" s="169">
        <v>41873.163194444445</v>
      </c>
      <c r="C63" s="170">
        <v>41877.333333333336</v>
      </c>
      <c r="D63" s="160">
        <f t="shared" ref="D63" si="74">SUM(C63-B63)*24</f>
        <v>100.08333333337214</v>
      </c>
      <c r="E63" s="171" t="s">
        <v>76</v>
      </c>
      <c r="F63" s="172"/>
      <c r="G63" s="173"/>
      <c r="H63" s="194"/>
      <c r="I63" s="194"/>
      <c r="J63" s="195">
        <f t="shared" ref="J63" si="75">SUM(I63-H63)*24</f>
        <v>0</v>
      </c>
      <c r="K63" s="160">
        <f t="shared" ref="K63" si="76">SUM(I63-H63)*24</f>
        <v>0</v>
      </c>
      <c r="L63" s="196"/>
      <c r="M63" s="197"/>
      <c r="N63" s="197"/>
      <c r="O63" s="198" t="s">
        <v>21</v>
      </c>
      <c r="P63" s="199"/>
      <c r="Q63" s="35"/>
      <c r="R63" s="35">
        <f t="shared" si="1"/>
        <v>1</v>
      </c>
      <c r="S63" s="35" t="str">
        <f t="shared" si="2"/>
        <v/>
      </c>
      <c r="T63" s="36">
        <f t="shared" si="54"/>
        <v>1</v>
      </c>
      <c r="U63" s="30"/>
      <c r="V63" s="30"/>
      <c r="W63" s="30"/>
    </row>
    <row r="64" spans="1:23" s="34" customFormat="1">
      <c r="A64" s="146"/>
      <c r="B64" s="147"/>
      <c r="C64" s="147"/>
      <c r="D64" s="148">
        <f>SUM(D59:D63)</f>
        <v>140.51666666683741</v>
      </c>
      <c r="E64" s="149"/>
      <c r="F64" s="150"/>
      <c r="G64" s="151"/>
      <c r="H64" s="152"/>
      <c r="I64" s="152"/>
      <c r="J64" s="153">
        <f>SUM(J59:J63)</f>
        <v>3.4833333331625909</v>
      </c>
      <c r="K64" s="153">
        <f>SUM(K59:K63)</f>
        <v>3.4833333331625909</v>
      </c>
      <c r="L64" s="154"/>
      <c r="M64" s="155"/>
      <c r="N64" s="155"/>
      <c r="O64" s="156"/>
      <c r="P64" s="94"/>
      <c r="Q64" s="35" t="str">
        <f t="shared" si="0"/>
        <v/>
      </c>
      <c r="R64" s="35" t="str">
        <f t="shared" si="1"/>
        <v/>
      </c>
      <c r="S64" s="35" t="str">
        <f t="shared" si="2"/>
        <v/>
      </c>
      <c r="T64" s="36">
        <f t="shared" si="54"/>
        <v>0</v>
      </c>
      <c r="U64" s="30"/>
      <c r="V64" s="30"/>
      <c r="W64" s="30"/>
    </row>
    <row r="65" spans="1:29">
      <c r="A65" s="85"/>
      <c r="B65" s="86"/>
      <c r="C65" s="86"/>
      <c r="D65" s="49"/>
      <c r="E65" s="87"/>
      <c r="F65" s="88"/>
      <c r="G65" s="89"/>
      <c r="H65" s="86"/>
      <c r="I65" s="86"/>
      <c r="J65" s="90"/>
      <c r="K65" s="90"/>
      <c r="L65" s="91"/>
      <c r="M65" s="92"/>
      <c r="N65" s="92"/>
      <c r="O65" s="93"/>
      <c r="P65" s="87"/>
      <c r="Q65" s="30"/>
      <c r="R65" s="30"/>
      <c r="S65" s="30"/>
      <c r="T65" s="30"/>
    </row>
    <row r="66" spans="1:29">
      <c r="A66" s="28"/>
      <c r="B66" s="14"/>
      <c r="C66" s="37" t="s">
        <v>25</v>
      </c>
      <c r="D66" s="38">
        <f>Q68</f>
        <v>25</v>
      </c>
      <c r="E66" s="16"/>
      <c r="F66" s="29"/>
      <c r="G66" s="18"/>
      <c r="H66" s="19"/>
      <c r="I66" s="19"/>
      <c r="J66" s="39" t="s">
        <v>26</v>
      </c>
      <c r="K66" s="40"/>
      <c r="L66" s="21"/>
      <c r="M66" s="22"/>
      <c r="N66" s="22"/>
      <c r="O66" s="41"/>
      <c r="P66" s="23"/>
      <c r="R66" s="12" t="str">
        <f>IF($L66="Scheduled",1,"")</f>
        <v/>
      </c>
    </row>
    <row r="67" spans="1:29">
      <c r="A67" s="28"/>
      <c r="B67" s="14"/>
      <c r="C67" s="37" t="s">
        <v>27</v>
      </c>
      <c r="D67" s="38">
        <f>D68-D66</f>
        <v>13</v>
      </c>
      <c r="E67" s="16"/>
      <c r="F67" s="29"/>
      <c r="G67" s="18"/>
      <c r="H67" s="19"/>
      <c r="I67" s="19"/>
      <c r="J67" s="15" t="s">
        <v>28</v>
      </c>
      <c r="K67" s="42" t="s">
        <v>13</v>
      </c>
      <c r="L67" s="21"/>
      <c r="M67" s="22"/>
      <c r="N67" s="22"/>
      <c r="O67" s="41"/>
      <c r="P67" s="23"/>
      <c r="R67" s="12" t="str">
        <f>IF($L67="Scheduled",1,"")</f>
        <v/>
      </c>
    </row>
    <row r="68" spans="1:29">
      <c r="A68" s="28"/>
      <c r="B68" s="14"/>
      <c r="C68" s="37" t="s">
        <v>29</v>
      </c>
      <c r="D68" s="43">
        <f>COUNT(A6:A65)</f>
        <v>38</v>
      </c>
      <c r="E68" s="16"/>
      <c r="F68" s="29"/>
      <c r="G68" s="18"/>
      <c r="H68" s="19"/>
      <c r="I68" s="19"/>
      <c r="J68" s="44">
        <f>SUM(J6:J65)/2</f>
        <v>43.350000000209548</v>
      </c>
      <c r="K68" s="44">
        <f>SUM(K6:K65)/2</f>
        <v>43.350000000209548</v>
      </c>
      <c r="L68" s="21"/>
      <c r="M68" s="22"/>
      <c r="N68" s="22"/>
      <c r="O68" s="41"/>
      <c r="P68" s="23"/>
      <c r="Q68" s="43">
        <f>SUM(Q1:Q65)</f>
        <v>25</v>
      </c>
      <c r="R68" s="43">
        <f>SUM(R1:R65)</f>
        <v>12</v>
      </c>
      <c r="S68" s="43">
        <f>SUM(S1:S65)</f>
        <v>6</v>
      </c>
      <c r="T68" s="43">
        <f>SUM(T1:T65)</f>
        <v>43</v>
      </c>
      <c r="AA68" s="30"/>
      <c r="AB68" s="30"/>
      <c r="AC68" s="30"/>
    </row>
    <row r="69" spans="1:29">
      <c r="A69" s="28"/>
      <c r="B69" s="14"/>
      <c r="C69" s="37"/>
      <c r="D69" s="15"/>
      <c r="E69" s="16"/>
      <c r="F69" s="29"/>
      <c r="G69" s="18"/>
      <c r="H69" s="19"/>
      <c r="I69" s="19"/>
      <c r="J69" s="15"/>
      <c r="K69" s="20"/>
      <c r="L69" s="21"/>
      <c r="M69" s="22"/>
      <c r="N69" s="22"/>
      <c r="O69" s="21"/>
      <c r="P69" s="23"/>
      <c r="Q69" s="12" t="s">
        <v>30</v>
      </c>
      <c r="R69" s="45" t="s">
        <v>21</v>
      </c>
      <c r="S69" s="12" t="s">
        <v>31</v>
      </c>
    </row>
    <row r="70" spans="1:29">
      <c r="A70" s="28"/>
      <c r="B70" s="14"/>
      <c r="C70" s="37" t="s">
        <v>32</v>
      </c>
      <c r="D70" s="15">
        <f>SUM(D6:D65)/2</f>
        <v>1732.6499999997905</v>
      </c>
      <c r="E70" s="46">
        <f>D70/24</f>
        <v>72.193749999991269</v>
      </c>
      <c r="F70" s="47" t="s">
        <v>33</v>
      </c>
      <c r="G70" s="18"/>
      <c r="H70" s="19"/>
      <c r="I70" s="19"/>
      <c r="J70" s="15"/>
      <c r="K70" s="20"/>
      <c r="L70" s="21"/>
      <c r="M70" s="22"/>
      <c r="N70" s="22"/>
      <c r="O70" s="21"/>
      <c r="P70" s="23"/>
      <c r="Q70" s="12" t="str">
        <f>IF($O72="Store Lost",1,"")</f>
        <v/>
      </c>
      <c r="T70" s="48"/>
      <c r="U70" s="30"/>
      <c r="V70" s="30"/>
      <c r="W70" s="30"/>
      <c r="X70" s="30"/>
      <c r="Y70" s="30"/>
      <c r="Z70" s="30"/>
    </row>
    <row r="71" spans="1:29">
      <c r="A71" s="28"/>
      <c r="B71" s="14"/>
      <c r="C71" s="37" t="s">
        <v>34</v>
      </c>
      <c r="D71" s="15">
        <f>J68</f>
        <v>43.350000000209548</v>
      </c>
      <c r="E71" s="16" t="s">
        <v>35</v>
      </c>
      <c r="F71" s="29"/>
      <c r="G71" s="18"/>
      <c r="H71" s="19"/>
      <c r="I71" s="19"/>
      <c r="J71" s="15"/>
      <c r="K71" s="20"/>
      <c r="L71" s="21"/>
      <c r="M71" s="22"/>
      <c r="N71" s="22"/>
      <c r="O71" s="21"/>
      <c r="P71" s="23"/>
      <c r="Q71" s="12" t="str">
        <f>IF($O73="Store Lost",1,"")</f>
        <v/>
      </c>
    </row>
    <row r="72" spans="1:29">
      <c r="A72" s="28"/>
      <c r="B72" s="14"/>
      <c r="C72" s="37" t="s">
        <v>36</v>
      </c>
      <c r="D72" s="43">
        <f>SUM(D70:D71)</f>
        <v>1776</v>
      </c>
      <c r="E72" s="46"/>
      <c r="F72" s="29"/>
      <c r="G72" s="18"/>
      <c r="H72" s="19"/>
      <c r="I72" s="19"/>
      <c r="J72" s="15"/>
      <c r="K72" s="20"/>
      <c r="L72" s="21"/>
      <c r="M72" s="22"/>
      <c r="N72" s="22"/>
      <c r="O72" s="21"/>
      <c r="P72" s="23"/>
      <c r="Q72" s="12" t="str">
        <f>IF($O74="Store Lost",1,"")</f>
        <v/>
      </c>
    </row>
    <row r="73" spans="1:29">
      <c r="A73" s="28"/>
      <c r="B73" s="14"/>
      <c r="C73" s="37"/>
      <c r="D73" s="49"/>
      <c r="E73" s="50"/>
      <c r="F73" s="29"/>
      <c r="G73" s="18"/>
      <c r="H73" s="15"/>
      <c r="I73" s="19"/>
      <c r="J73" s="15"/>
      <c r="K73" s="20"/>
      <c r="L73" s="21"/>
      <c r="M73" s="22"/>
      <c r="N73" s="22"/>
      <c r="O73" s="21"/>
      <c r="P73" s="23"/>
      <c r="Q73" s="51">
        <f>Q68+R68</f>
        <v>37</v>
      </c>
      <c r="R73" s="12" t="str">
        <f>IF($P75="Store Lost",1,"")</f>
        <v/>
      </c>
    </row>
    <row r="74" spans="1:29">
      <c r="A74" s="28"/>
      <c r="B74" s="14"/>
      <c r="C74" s="37"/>
      <c r="D74" s="49"/>
      <c r="E74" s="16"/>
      <c r="F74" s="29"/>
      <c r="G74" s="18"/>
      <c r="H74" s="19"/>
      <c r="I74" s="19"/>
      <c r="J74" s="15"/>
      <c r="K74" s="20"/>
      <c r="L74" s="21"/>
      <c r="M74" s="22"/>
      <c r="N74" s="22"/>
      <c r="O74" s="21"/>
      <c r="P74" s="23"/>
      <c r="Q74" s="23"/>
      <c r="R74" s="12" t="str">
        <f>IF($P76="Store Lost",1,"")</f>
        <v/>
      </c>
      <c r="S74" s="30"/>
      <c r="T74" s="30"/>
    </row>
    <row r="75" spans="1:29">
      <c r="A75" s="28"/>
      <c r="B75" s="14"/>
      <c r="C75" s="37" t="s">
        <v>37</v>
      </c>
      <c r="D75" s="52">
        <f>IF(D66,D70/D66,D70)</f>
        <v>69.305999999991613</v>
      </c>
      <c r="E75" s="16"/>
      <c r="F75" s="29"/>
      <c r="G75" s="18"/>
      <c r="J75" s="7"/>
      <c r="K75" s="53"/>
      <c r="Q75" s="23"/>
      <c r="R75" s="12" t="str">
        <f>IF($P77="Store Lost",1,"")</f>
        <v/>
      </c>
    </row>
    <row r="76" spans="1:29">
      <c r="A76" s="28"/>
      <c r="B76" s="14"/>
      <c r="C76" s="37" t="s">
        <v>38</v>
      </c>
      <c r="D76" s="49">
        <f>IF(D66,24/D75,0)</f>
        <v>0.34629036447065054</v>
      </c>
      <c r="E76" s="54"/>
      <c r="F76" s="55"/>
      <c r="G76" s="56"/>
      <c r="K76" s="53"/>
      <c r="Q76" s="23"/>
      <c r="R76" s="12" t="e">
        <f>NA()</f>
        <v>#N/A</v>
      </c>
    </row>
    <row r="77" spans="1:29" ht="27.6" customHeight="1">
      <c r="A77" s="28"/>
      <c r="B77" s="14"/>
      <c r="C77" s="37" t="s">
        <v>39</v>
      </c>
      <c r="D77" s="57">
        <f>D70/D72</f>
        <v>0.97559121621609823</v>
      </c>
      <c r="E77" s="58"/>
      <c r="F77" s="29"/>
      <c r="G77" s="18"/>
      <c r="K77" s="53"/>
      <c r="Q77" s="23"/>
      <c r="R77" s="12" t="e">
        <f>NA()</f>
        <v>#N/A</v>
      </c>
    </row>
    <row r="78" spans="1:29">
      <c r="A78" s="28"/>
      <c r="B78" s="14"/>
      <c r="C78" s="14"/>
      <c r="D78" s="15"/>
      <c r="E78" s="16"/>
      <c r="F78" s="29"/>
      <c r="G78" s="18"/>
      <c r="K78" s="53"/>
      <c r="Q78" s="23"/>
      <c r="R78" s="12" t="str">
        <f t="shared" ref="R78:R87" si="77">IF($P80="Store Lost",1,"")</f>
        <v/>
      </c>
    </row>
    <row r="79" spans="1:29" s="59" customFormat="1">
      <c r="A79" s="28"/>
      <c r="B79" s="14"/>
      <c r="C79" s="14"/>
      <c r="D79" s="15"/>
      <c r="E79" s="16"/>
      <c r="F79" s="29"/>
      <c r="G79" s="18"/>
      <c r="H79" s="7"/>
      <c r="I79" s="7"/>
      <c r="J79" s="3"/>
      <c r="K79" s="53"/>
      <c r="L79" s="9"/>
      <c r="M79" s="10"/>
      <c r="N79" s="10"/>
      <c r="O79" s="9"/>
      <c r="P79" s="11"/>
      <c r="Q79" s="23"/>
      <c r="R79" s="12" t="str">
        <f t="shared" si="77"/>
        <v/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>
      <c r="A80" s="28"/>
      <c r="B80" s="14"/>
      <c r="C80" s="14"/>
      <c r="D80" s="15"/>
      <c r="E80" s="16"/>
      <c r="F80" s="29"/>
      <c r="G80" s="18"/>
      <c r="K80" s="53"/>
      <c r="Q80" s="23"/>
      <c r="R80" s="12" t="str">
        <f t="shared" si="77"/>
        <v/>
      </c>
    </row>
    <row r="81" spans="1:29">
      <c r="A81" s="28"/>
      <c r="B81" s="14"/>
      <c r="C81" s="14"/>
      <c r="D81" s="15"/>
      <c r="E81" s="16"/>
      <c r="F81" s="29"/>
      <c r="G81" s="18"/>
      <c r="K81" s="53"/>
      <c r="Q81" s="23"/>
      <c r="R81" s="12" t="str">
        <f t="shared" si="77"/>
        <v/>
      </c>
    </row>
    <row r="82" spans="1:29">
      <c r="A82" s="28"/>
      <c r="B82" s="14"/>
      <c r="C82" s="14"/>
      <c r="D82" s="15"/>
      <c r="E82" s="16"/>
      <c r="F82" s="29"/>
      <c r="G82" s="18"/>
      <c r="K82" s="53"/>
      <c r="Q82" s="23"/>
      <c r="R82" s="12" t="str">
        <f t="shared" si="77"/>
        <v/>
      </c>
    </row>
    <row r="83" spans="1:29">
      <c r="A83" s="28"/>
      <c r="B83" s="14"/>
      <c r="C83" s="14"/>
      <c r="D83" s="15"/>
      <c r="E83" s="16"/>
      <c r="F83" s="29"/>
      <c r="G83" s="18"/>
      <c r="K83" s="53"/>
      <c r="Q83" s="23"/>
      <c r="R83" s="12" t="str">
        <f t="shared" si="77"/>
        <v/>
      </c>
    </row>
    <row r="84" spans="1:29">
      <c r="A84" s="28"/>
      <c r="B84" s="14"/>
      <c r="C84" s="14"/>
      <c r="D84" s="15"/>
      <c r="E84" s="16"/>
      <c r="F84" s="29"/>
      <c r="G84" s="18"/>
      <c r="K84" s="53"/>
      <c r="Q84" s="23"/>
      <c r="R84" s="12" t="str">
        <f t="shared" si="77"/>
        <v/>
      </c>
    </row>
    <row r="85" spans="1:29">
      <c r="A85" s="28"/>
      <c r="B85" s="14"/>
      <c r="C85" s="14"/>
      <c r="D85" s="15"/>
      <c r="E85" s="16"/>
      <c r="F85" s="29"/>
      <c r="G85" s="18"/>
      <c r="K85" s="53"/>
      <c r="Q85" s="23"/>
      <c r="R85" s="12" t="str">
        <f t="shared" si="77"/>
        <v/>
      </c>
    </row>
    <row r="86" spans="1:29">
      <c r="A86" s="28"/>
      <c r="B86" s="14"/>
      <c r="C86" s="14"/>
      <c r="D86" s="15"/>
      <c r="E86" s="16"/>
      <c r="F86" s="29"/>
      <c r="G86" s="18"/>
      <c r="K86" s="53"/>
      <c r="Q86" s="23"/>
      <c r="R86" s="12" t="str">
        <f t="shared" si="77"/>
        <v/>
      </c>
    </row>
    <row r="87" spans="1:29">
      <c r="A87" s="28"/>
      <c r="B87" s="14"/>
      <c r="C87" s="14"/>
      <c r="D87" s="15"/>
      <c r="E87" s="16"/>
      <c r="F87" s="29"/>
      <c r="G87" s="18"/>
      <c r="K87" s="53"/>
      <c r="Q87" s="23"/>
      <c r="R87" s="12" t="str">
        <f t="shared" si="77"/>
        <v/>
      </c>
    </row>
    <row r="88" spans="1:29" s="60" customFormat="1">
      <c r="A88" s="28"/>
      <c r="B88" s="14"/>
      <c r="C88" s="14"/>
      <c r="D88" s="15"/>
      <c r="E88" s="16"/>
      <c r="F88" s="29"/>
      <c r="G88" s="18"/>
      <c r="H88" s="7"/>
      <c r="I88" s="7"/>
      <c r="J88" s="3"/>
      <c r="K88" s="53"/>
      <c r="L88" s="9"/>
      <c r="M88" s="10"/>
      <c r="N88" s="10"/>
      <c r="O88" s="9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s="30" customFormat="1">
      <c r="A89" s="28"/>
      <c r="B89" s="14"/>
      <c r="C89" s="14"/>
      <c r="D89" s="15"/>
      <c r="E89" s="16"/>
      <c r="F89" s="29"/>
      <c r="G89" s="18"/>
      <c r="H89" s="7"/>
      <c r="I89" s="7"/>
      <c r="J89" s="3"/>
      <c r="K89" s="53"/>
      <c r="L89" s="9"/>
      <c r="M89" s="10"/>
      <c r="N89" s="10"/>
      <c r="O89" s="9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59"/>
      <c r="AB89" s="59"/>
      <c r="AC89" s="59"/>
    </row>
    <row r="90" spans="1:29">
      <c r="A90" s="28"/>
      <c r="B90" s="14"/>
      <c r="C90" s="14"/>
      <c r="D90" s="15"/>
      <c r="E90" s="16"/>
      <c r="F90" s="29"/>
      <c r="G90" s="18"/>
      <c r="H90" s="19"/>
      <c r="I90" s="19"/>
      <c r="J90" s="15"/>
      <c r="K90" s="20"/>
      <c r="L90" s="21"/>
      <c r="M90" s="22"/>
      <c r="N90" s="22"/>
      <c r="O90" s="21"/>
      <c r="P90" s="23"/>
    </row>
    <row r="91" spans="1:29">
      <c r="A91" s="28"/>
      <c r="B91" s="14"/>
      <c r="C91" s="14"/>
      <c r="E91" s="16"/>
      <c r="F91" s="29"/>
      <c r="G91" s="18"/>
      <c r="H91" s="19"/>
      <c r="I91" s="19"/>
      <c r="L91" s="21"/>
      <c r="M91" s="22"/>
      <c r="N91" s="22"/>
      <c r="O91" s="21"/>
      <c r="P91" s="23"/>
      <c r="U91" s="59"/>
      <c r="V91" s="59"/>
      <c r="W91" s="59"/>
      <c r="X91" s="59"/>
      <c r="Y91" s="59"/>
      <c r="Z91" s="59"/>
    </row>
    <row r="92" spans="1:29">
      <c r="A92" s="28"/>
      <c r="B92" s="14"/>
      <c r="C92" s="14"/>
      <c r="E92" s="16"/>
      <c r="F92" s="29"/>
      <c r="G92" s="18"/>
      <c r="H92" s="19"/>
      <c r="I92" s="19"/>
      <c r="L92" s="21"/>
      <c r="M92" s="22"/>
      <c r="N92" s="22"/>
      <c r="O92" s="21"/>
      <c r="P92" s="23"/>
    </row>
    <row r="93" spans="1:29">
      <c r="A93" s="28"/>
      <c r="B93" s="14"/>
      <c r="C93" s="14"/>
      <c r="E93" s="16"/>
      <c r="F93" s="29"/>
      <c r="G93" s="18"/>
      <c r="H93" s="19"/>
      <c r="I93" s="19"/>
      <c r="L93" s="21"/>
      <c r="M93" s="22"/>
      <c r="N93" s="22"/>
      <c r="O93" s="21"/>
      <c r="P93" s="23"/>
    </row>
    <row r="94" spans="1:29">
      <c r="A94" s="28"/>
      <c r="B94" s="14"/>
      <c r="C94" s="14"/>
      <c r="F94" s="29"/>
      <c r="G94" s="18"/>
      <c r="H94" s="19"/>
      <c r="I94" s="19"/>
      <c r="L94" s="21"/>
      <c r="M94" s="22"/>
      <c r="N94" s="22"/>
      <c r="O94" s="21"/>
      <c r="P94" s="23"/>
    </row>
    <row r="95" spans="1:29">
      <c r="A95" s="28"/>
      <c r="B95" s="14"/>
      <c r="C95" s="14"/>
      <c r="F95" s="29"/>
      <c r="G95" s="18"/>
      <c r="H95" s="19"/>
      <c r="I95" s="19"/>
      <c r="L95" s="21"/>
      <c r="M95" s="22"/>
      <c r="N95" s="22"/>
      <c r="O95" s="21"/>
      <c r="P95" s="23"/>
      <c r="R95" s="59"/>
      <c r="S95" s="59"/>
      <c r="T95" s="59"/>
    </row>
    <row r="96" spans="1:29">
      <c r="B96" s="14"/>
      <c r="C96" s="14"/>
      <c r="F96" s="29"/>
      <c r="G96" s="18"/>
      <c r="H96" s="19"/>
      <c r="I96" s="19"/>
      <c r="L96" s="21"/>
      <c r="M96" s="22"/>
      <c r="N96" s="22"/>
      <c r="O96" s="21"/>
      <c r="P96" s="23"/>
    </row>
    <row r="97" spans="1:29">
      <c r="B97" s="14"/>
      <c r="C97" s="14"/>
      <c r="F97" s="29"/>
      <c r="G97" s="18"/>
      <c r="H97" s="19"/>
      <c r="I97" s="19"/>
      <c r="L97" s="21"/>
      <c r="M97" s="22"/>
      <c r="N97" s="22"/>
      <c r="O97" s="21"/>
      <c r="P97" s="23"/>
      <c r="Q97" s="12" t="str">
        <f t="shared" ref="Q97:Q128" si="78">IF($O99="Store Lost",1,"")</f>
        <v/>
      </c>
    </row>
    <row r="98" spans="1:29">
      <c r="B98" s="14"/>
      <c r="C98" s="14"/>
      <c r="F98" s="29"/>
      <c r="G98" s="18"/>
      <c r="H98" s="19"/>
      <c r="I98" s="19"/>
      <c r="L98" s="21"/>
      <c r="M98" s="22"/>
      <c r="N98" s="22"/>
      <c r="O98" s="21"/>
      <c r="P98" s="23"/>
      <c r="Q98" s="12" t="str">
        <f t="shared" si="78"/>
        <v/>
      </c>
      <c r="AA98" s="60"/>
      <c r="AB98" s="60"/>
      <c r="AC98" s="60"/>
    </row>
    <row r="99" spans="1:29">
      <c r="B99" s="14"/>
      <c r="C99" s="14"/>
      <c r="Q99" s="12" t="str">
        <f t="shared" si="78"/>
        <v/>
      </c>
      <c r="AA99" s="30"/>
      <c r="AB99" s="30"/>
      <c r="AC99" s="30"/>
    </row>
    <row r="100" spans="1:29">
      <c r="Q100" s="12" t="str">
        <f t="shared" si="78"/>
        <v/>
      </c>
      <c r="U100" s="60"/>
      <c r="V100" s="60"/>
      <c r="W100" s="60"/>
      <c r="X100" s="60"/>
      <c r="Y100" s="60"/>
      <c r="Z100" s="60"/>
    </row>
    <row r="101" spans="1:29">
      <c r="Q101" s="12" t="str">
        <f t="shared" si="78"/>
        <v/>
      </c>
      <c r="U101" s="30"/>
      <c r="V101" s="30"/>
      <c r="W101" s="30"/>
      <c r="X101" s="30"/>
      <c r="Y101" s="30"/>
      <c r="Z101" s="30"/>
    </row>
    <row r="102" spans="1:29" s="59" customFormat="1">
      <c r="A102" s="1"/>
      <c r="B102" s="2"/>
      <c r="C102" s="2"/>
      <c r="D102" s="3"/>
      <c r="E102" s="4"/>
      <c r="F102" s="5"/>
      <c r="G102" s="6"/>
      <c r="H102" s="7"/>
      <c r="I102" s="7"/>
      <c r="J102" s="3"/>
      <c r="K102" s="8"/>
      <c r="L102" s="9"/>
      <c r="M102" s="10"/>
      <c r="N102" s="10"/>
      <c r="O102" s="9"/>
      <c r="P102" s="11"/>
      <c r="Q102" s="12" t="str">
        <f t="shared" si="78"/>
        <v/>
      </c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>
      <c r="Q103" s="12" t="str">
        <f t="shared" si="78"/>
        <v/>
      </c>
    </row>
    <row r="104" spans="1:29">
      <c r="Q104" s="12" t="str">
        <f t="shared" si="78"/>
        <v/>
      </c>
      <c r="R104" s="60"/>
      <c r="S104" s="60"/>
      <c r="T104" s="60"/>
    </row>
    <row r="105" spans="1:29">
      <c r="Q105" s="12" t="str">
        <f t="shared" si="78"/>
        <v/>
      </c>
      <c r="R105" s="30"/>
      <c r="S105" s="30"/>
      <c r="T105" s="30"/>
    </row>
    <row r="106" spans="1:29">
      <c r="Q106" s="12" t="str">
        <f t="shared" si="78"/>
        <v/>
      </c>
    </row>
    <row r="107" spans="1:29">
      <c r="Q107" s="12" t="str">
        <f t="shared" si="78"/>
        <v/>
      </c>
    </row>
    <row r="108" spans="1:29">
      <c r="Q108" s="12" t="str">
        <f t="shared" si="78"/>
        <v/>
      </c>
    </row>
    <row r="109" spans="1:29">
      <c r="Q109" s="12" t="str">
        <f t="shared" si="78"/>
        <v/>
      </c>
    </row>
    <row r="110" spans="1:29">
      <c r="Q110" s="12" t="str">
        <f t="shared" si="78"/>
        <v/>
      </c>
    </row>
    <row r="111" spans="1:29">
      <c r="Q111" s="12" t="str">
        <f t="shared" si="78"/>
        <v/>
      </c>
    </row>
    <row r="112" spans="1:29">
      <c r="Q112" s="12" t="str">
        <f t="shared" si="78"/>
        <v/>
      </c>
      <c r="AA112" s="59"/>
      <c r="AB112" s="59"/>
      <c r="AC112" s="59"/>
    </row>
    <row r="113" spans="1:29">
      <c r="Q113" s="12" t="str">
        <f t="shared" si="78"/>
        <v/>
      </c>
    </row>
    <row r="114" spans="1:29">
      <c r="Q114" s="12" t="str">
        <f t="shared" si="78"/>
        <v/>
      </c>
      <c r="U114" s="59"/>
      <c r="V114" s="59"/>
      <c r="W114" s="59"/>
      <c r="X114" s="59"/>
      <c r="Y114" s="59"/>
      <c r="Z114" s="59"/>
    </row>
    <row r="115" spans="1:29" s="59" customFormat="1">
      <c r="A115" s="1"/>
      <c r="B115" s="2"/>
      <c r="C115" s="2"/>
      <c r="D115" s="3"/>
      <c r="E115" s="4"/>
      <c r="F115" s="5"/>
      <c r="G115" s="6"/>
      <c r="H115" s="7"/>
      <c r="I115" s="7"/>
      <c r="J115" s="3"/>
      <c r="K115" s="8"/>
      <c r="L115" s="9"/>
      <c r="M115" s="10"/>
      <c r="N115" s="10"/>
      <c r="O115" s="9"/>
      <c r="P115" s="11"/>
      <c r="Q115" s="12" t="str">
        <f t="shared" si="78"/>
        <v/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s="30" customFormat="1">
      <c r="A116" s="1"/>
      <c r="B116" s="2"/>
      <c r="C116" s="2"/>
      <c r="D116" s="3"/>
      <c r="E116" s="4"/>
      <c r="F116" s="5"/>
      <c r="G116" s="6"/>
      <c r="H116" s="7"/>
      <c r="I116" s="7"/>
      <c r="J116" s="3"/>
      <c r="K116" s="8"/>
      <c r="L116" s="9"/>
      <c r="M116" s="10"/>
      <c r="N116" s="10"/>
      <c r="O116" s="9"/>
      <c r="P116" s="11"/>
      <c r="Q116" s="12" t="str">
        <f t="shared" si="78"/>
        <v/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s="59" customFormat="1">
      <c r="A117" s="1"/>
      <c r="B117" s="2"/>
      <c r="C117" s="2"/>
      <c r="D117" s="3"/>
      <c r="E117" s="4"/>
      <c r="F117" s="5"/>
      <c r="G117" s="6"/>
      <c r="H117" s="7"/>
      <c r="I117" s="7"/>
      <c r="J117" s="3"/>
      <c r="K117" s="8"/>
      <c r="L117" s="9"/>
      <c r="M117" s="10"/>
      <c r="N117" s="10"/>
      <c r="O117" s="9"/>
      <c r="P117" s="11"/>
      <c r="Q117" s="12" t="str">
        <f t="shared" si="78"/>
        <v/>
      </c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>
      <c r="Q118" s="12" t="str">
        <f t="shared" si="78"/>
        <v/>
      </c>
      <c r="R118" s="59"/>
      <c r="S118" s="59"/>
      <c r="T118" s="59"/>
    </row>
    <row r="119" spans="1:29">
      <c r="Q119" s="12" t="str">
        <f t="shared" si="78"/>
        <v/>
      </c>
    </row>
    <row r="120" spans="1:29">
      <c r="Q120" s="12" t="str">
        <f t="shared" si="78"/>
        <v/>
      </c>
    </row>
    <row r="121" spans="1:29">
      <c r="Q121" s="12" t="str">
        <f t="shared" si="78"/>
        <v/>
      </c>
    </row>
    <row r="122" spans="1:29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 t="str">
        <f t="shared" si="78"/>
        <v/>
      </c>
    </row>
    <row r="123" spans="1:29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 t="str">
        <f t="shared" si="78"/>
        <v/>
      </c>
    </row>
    <row r="124" spans="1:29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 t="str">
        <f t="shared" si="78"/>
        <v/>
      </c>
    </row>
    <row r="125" spans="1:29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 t="str">
        <f t="shared" si="78"/>
        <v/>
      </c>
      <c r="AA125" s="59"/>
      <c r="AB125" s="59"/>
      <c r="AC125" s="59"/>
    </row>
    <row r="126" spans="1:29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 t="str">
        <f t="shared" si="78"/>
        <v/>
      </c>
      <c r="AA126" s="30"/>
      <c r="AB126" s="30"/>
      <c r="AC126" s="30"/>
    </row>
    <row r="127" spans="1:29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 t="str">
        <f t="shared" si="78"/>
        <v/>
      </c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29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 t="str">
        <f t="shared" si="78"/>
        <v/>
      </c>
      <c r="U128" s="30"/>
      <c r="V128" s="30"/>
      <c r="W128" s="30"/>
      <c r="X128" s="30"/>
      <c r="Y128" s="30"/>
      <c r="Z128" s="30"/>
    </row>
    <row r="129" spans="1: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 t="str">
        <f t="shared" ref="Q129:Q154" si="79">IF($O131="Store Lost",1,"")</f>
        <v/>
      </c>
      <c r="U129" s="59"/>
      <c r="V129" s="59"/>
      <c r="W129" s="59"/>
      <c r="X129" s="59"/>
      <c r="Y129" s="59"/>
      <c r="Z129" s="59"/>
    </row>
    <row r="130" spans="1:29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 t="str">
        <f t="shared" si="79"/>
        <v/>
      </c>
    </row>
    <row r="131" spans="1:29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 t="str">
        <f t="shared" si="79"/>
        <v/>
      </c>
      <c r="R131" s="59"/>
      <c r="S131" s="59"/>
      <c r="T131" s="59"/>
    </row>
    <row r="132" spans="1:29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 t="str">
        <f t="shared" si="79"/>
        <v/>
      </c>
      <c r="R132" s="30"/>
      <c r="S132" s="30"/>
      <c r="T132" s="30"/>
    </row>
    <row r="133" spans="1:29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 t="str">
        <f t="shared" si="79"/>
        <v/>
      </c>
      <c r="R133" s="59"/>
      <c r="S133" s="59"/>
      <c r="T133" s="59"/>
    </row>
    <row r="134" spans="1:29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 t="str">
        <f t="shared" si="79"/>
        <v/>
      </c>
    </row>
    <row r="135" spans="1:29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 t="str">
        <f t="shared" si="79"/>
        <v/>
      </c>
    </row>
    <row r="136" spans="1:29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 t="str">
        <f t="shared" si="79"/>
        <v/>
      </c>
    </row>
    <row r="137" spans="1:29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 t="str">
        <f t="shared" si="79"/>
        <v/>
      </c>
    </row>
    <row r="138" spans="1:29" s="59" customFormat="1">
      <c r="A138" s="1"/>
      <c r="B138" s="2"/>
      <c r="C138" s="2"/>
      <c r="D138" s="3"/>
      <c r="E138" s="4"/>
      <c r="F138" s="5"/>
      <c r="G138" s="6"/>
      <c r="H138" s="7"/>
      <c r="I138" s="7"/>
      <c r="J138" s="3"/>
      <c r="K138" s="8"/>
      <c r="L138" s="9"/>
      <c r="M138" s="10"/>
      <c r="N138" s="10"/>
      <c r="O138" s="9"/>
      <c r="P138" s="11"/>
      <c r="Q138" s="12" t="str">
        <f t="shared" si="79"/>
        <v/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spans="1:29">
      <c r="Q139" s="12" t="str">
        <f t="shared" si="79"/>
        <v/>
      </c>
    </row>
    <row r="140" spans="1:29">
      <c r="Q140" s="12" t="str">
        <f t="shared" si="79"/>
        <v/>
      </c>
    </row>
    <row r="141" spans="1:29">
      <c r="Q141" s="12" t="str">
        <f t="shared" si="79"/>
        <v/>
      </c>
    </row>
    <row r="142" spans="1:29">
      <c r="Q142" s="12" t="str">
        <f t="shared" si="79"/>
        <v/>
      </c>
    </row>
    <row r="143" spans="1:29">
      <c r="Q143" s="12" t="str">
        <f t="shared" si="79"/>
        <v/>
      </c>
    </row>
    <row r="144" spans="1:29">
      <c r="Q144" s="12" t="str">
        <f t="shared" si="79"/>
        <v/>
      </c>
    </row>
    <row r="145" spans="1:29">
      <c r="Q145" s="12" t="str">
        <f t="shared" si="79"/>
        <v/>
      </c>
    </row>
    <row r="146" spans="1:29">
      <c r="Q146" s="12" t="str">
        <f t="shared" si="79"/>
        <v/>
      </c>
    </row>
    <row r="147" spans="1:29">
      <c r="Q147" s="12" t="str">
        <f t="shared" si="79"/>
        <v/>
      </c>
    </row>
    <row r="148" spans="1:29">
      <c r="Q148" s="12" t="str">
        <f t="shared" si="79"/>
        <v/>
      </c>
      <c r="AA148" s="59"/>
      <c r="AB148" s="59"/>
      <c r="AC148" s="59"/>
    </row>
    <row r="149" spans="1:29">
      <c r="Q149" s="12" t="str">
        <f t="shared" si="79"/>
        <v/>
      </c>
    </row>
    <row r="150" spans="1:29">
      <c r="Q150" s="12" t="str">
        <f t="shared" si="79"/>
        <v/>
      </c>
      <c r="U150" s="59"/>
      <c r="V150" s="59"/>
      <c r="W150" s="59"/>
      <c r="X150" s="59"/>
      <c r="Y150" s="59"/>
      <c r="Z150" s="59"/>
    </row>
    <row r="151" spans="1:29">
      <c r="Q151" s="12" t="str">
        <f t="shared" si="79"/>
        <v/>
      </c>
    </row>
    <row r="152" spans="1:29">
      <c r="Q152" s="12" t="str">
        <f t="shared" si="79"/>
        <v/>
      </c>
    </row>
    <row r="153" spans="1:29">
      <c r="Q153" s="12" t="str">
        <f t="shared" si="79"/>
        <v/>
      </c>
    </row>
    <row r="154" spans="1:29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 t="str">
        <f t="shared" si="79"/>
        <v/>
      </c>
      <c r="R154" s="59"/>
      <c r="S154" s="59"/>
      <c r="T154" s="59"/>
    </row>
    <row r="158" spans="1:29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>
        <f>COUNT(Q65:Q154)</f>
        <v>2</v>
      </c>
    </row>
  </sheetData>
  <mergeCells count="1">
    <mergeCell ref="A2:I2"/>
  </mergeCells>
  <phoneticPr fontId="0" type="noConversion"/>
  <pageMargins left="0" right="0" top="0" bottom="0" header="0.26180555599999999" footer="0.15"/>
  <pageSetup paperSize="119" scale="84" firstPageNumber="0" fitToHeight="0" orientation="landscape" horizontalDpi="300" verticalDpi="300" r:id="rId1"/>
  <headerFooter alignWithMargins="0">
    <oddFooter>&amp;RUpdated &amp;D</oddFooter>
  </headerFooter>
  <rowBreaks count="1" manualBreakCount="1">
    <brk id="9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zoomScale="75" zoomScaleNormal="75" workbookViewId="0">
      <selection activeCell="A23" sqref="A23"/>
    </sheetView>
  </sheetViews>
  <sheetFormatPr defaultRowHeight="12.75"/>
  <cols>
    <col min="1" max="1" width="21.28515625" customWidth="1"/>
    <col min="2" max="13" width="13.85546875" customWidth="1"/>
    <col min="14" max="14" width="11.5703125" customWidth="1"/>
    <col min="15" max="15" width="19.28515625" customWidth="1"/>
    <col min="16" max="17" width="22.28515625" customWidth="1"/>
    <col min="18" max="19" width="12" customWidth="1"/>
    <col min="20" max="21" width="22.28515625" customWidth="1"/>
    <col min="22" max="22" width="4" customWidth="1"/>
    <col min="23" max="24" width="22.28515625" customWidth="1"/>
    <col min="25" max="25" width="12" customWidth="1"/>
    <col min="26" max="27" width="21.140625" customWidth="1"/>
    <col min="28" max="28" width="4" customWidth="1"/>
    <col min="29" max="30" width="21.140625" bestFit="1" customWidth="1"/>
    <col min="31" max="31" width="4.42578125" customWidth="1"/>
    <col min="32" max="33" width="21.140625" bestFit="1" customWidth="1"/>
    <col min="34" max="34" width="5" customWidth="1"/>
    <col min="35" max="36" width="21.140625" bestFit="1" customWidth="1"/>
    <col min="37" max="37" width="10.28515625" bestFit="1" customWidth="1"/>
  </cols>
  <sheetData>
    <row r="3" spans="1:20">
      <c r="A3" s="83"/>
      <c r="B3" s="115" t="s">
        <v>14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6"/>
    </row>
    <row r="4" spans="1:20">
      <c r="A4" s="115" t="s">
        <v>40</v>
      </c>
      <c r="B4" s="83" t="s">
        <v>22</v>
      </c>
      <c r="C4" s="117" t="s">
        <v>23</v>
      </c>
      <c r="D4" s="117" t="s">
        <v>66</v>
      </c>
      <c r="E4" s="117" t="s">
        <v>24</v>
      </c>
      <c r="F4" s="117" t="s">
        <v>69</v>
      </c>
      <c r="G4" s="117" t="s">
        <v>70</v>
      </c>
      <c r="H4" s="117" t="s">
        <v>71</v>
      </c>
      <c r="I4" s="117" t="s">
        <v>74</v>
      </c>
      <c r="J4" s="117" t="s">
        <v>89</v>
      </c>
      <c r="K4" s="117" t="s">
        <v>90</v>
      </c>
      <c r="L4" s="117" t="s">
        <v>68</v>
      </c>
      <c r="M4" s="117" t="s">
        <v>95</v>
      </c>
      <c r="N4" s="118" t="s">
        <v>58</v>
      </c>
    </row>
    <row r="5" spans="1:20">
      <c r="A5" s="83" t="s">
        <v>41</v>
      </c>
      <c r="B5" s="119">
        <v>1</v>
      </c>
      <c r="C5" s="120">
        <v>1</v>
      </c>
      <c r="D5" s="120">
        <v>0</v>
      </c>
      <c r="E5" s="120">
        <v>0</v>
      </c>
      <c r="F5" s="120">
        <v>1</v>
      </c>
      <c r="G5" s="120">
        <v>2</v>
      </c>
      <c r="H5" s="120">
        <v>0</v>
      </c>
      <c r="I5" s="120">
        <v>0</v>
      </c>
      <c r="J5" s="120">
        <v>1</v>
      </c>
      <c r="K5" s="120">
        <v>0</v>
      </c>
      <c r="L5" s="120">
        <v>0</v>
      </c>
      <c r="M5" s="120">
        <v>0</v>
      </c>
      <c r="N5" s="121">
        <v>6</v>
      </c>
    </row>
    <row r="6" spans="1:20">
      <c r="A6" s="123" t="s">
        <v>42</v>
      </c>
      <c r="B6" s="124">
        <v>6</v>
      </c>
      <c r="C6" s="74">
        <v>4</v>
      </c>
      <c r="D6" s="74">
        <v>3</v>
      </c>
      <c r="E6" s="74">
        <v>2</v>
      </c>
      <c r="F6" s="74">
        <v>2</v>
      </c>
      <c r="G6" s="74">
        <v>1</v>
      </c>
      <c r="H6" s="74">
        <v>1</v>
      </c>
      <c r="I6" s="74">
        <v>3</v>
      </c>
      <c r="J6" s="74">
        <v>0</v>
      </c>
      <c r="K6" s="74">
        <v>1</v>
      </c>
      <c r="L6" s="74">
        <v>1</v>
      </c>
      <c r="M6" s="74">
        <v>1</v>
      </c>
      <c r="N6" s="125">
        <v>25</v>
      </c>
    </row>
    <row r="7" spans="1:20">
      <c r="A7" s="131" t="s">
        <v>64</v>
      </c>
      <c r="B7" s="162">
        <v>7.5</v>
      </c>
      <c r="C7" s="132">
        <v>5.1166666667559184</v>
      </c>
      <c r="D7" s="159">
        <v>3.9833333333954215</v>
      </c>
      <c r="E7" s="159">
        <v>1.4166666667442769</v>
      </c>
      <c r="F7" s="159">
        <v>2.5666666666511446</v>
      </c>
      <c r="G7" s="159">
        <v>1.6833333332324401</v>
      </c>
      <c r="H7" s="159">
        <v>0.8999999999650754</v>
      </c>
      <c r="I7" s="159">
        <v>10.883333333360497</v>
      </c>
      <c r="J7" s="159">
        <v>0.48333333333721384</v>
      </c>
      <c r="K7" s="159">
        <v>7.316666666592937</v>
      </c>
      <c r="L7" s="159">
        <v>0.55000000004656613</v>
      </c>
      <c r="M7" s="159">
        <v>0.95000000012805685</v>
      </c>
      <c r="N7" s="133">
        <v>43.350000000209548</v>
      </c>
    </row>
    <row r="12" spans="1:20" ht="13.5" thickBot="1"/>
    <row r="13" spans="1:20">
      <c r="B13" s="61" t="s">
        <v>23</v>
      </c>
      <c r="C13" s="62" t="s">
        <v>45</v>
      </c>
      <c r="D13" s="62" t="s">
        <v>22</v>
      </c>
      <c r="E13" s="62" t="s">
        <v>46</v>
      </c>
      <c r="F13" s="188" t="s">
        <v>73</v>
      </c>
      <c r="G13" s="62" t="s">
        <v>47</v>
      </c>
      <c r="H13" s="62" t="s">
        <v>48</v>
      </c>
      <c r="I13" s="62" t="s">
        <v>49</v>
      </c>
      <c r="J13" s="62" t="s">
        <v>50</v>
      </c>
      <c r="K13" s="188" t="s">
        <v>95</v>
      </c>
      <c r="L13" s="62" t="s">
        <v>52</v>
      </c>
      <c r="M13" s="62" t="s">
        <v>53</v>
      </c>
      <c r="N13" s="62" t="s">
        <v>54</v>
      </c>
      <c r="O13" s="62" t="s">
        <v>55</v>
      </c>
      <c r="P13" s="63" t="s">
        <v>56</v>
      </c>
      <c r="Q13" s="64" t="s">
        <v>57</v>
      </c>
      <c r="R13" s="187" t="s">
        <v>72</v>
      </c>
      <c r="S13" s="64" t="s">
        <v>58</v>
      </c>
      <c r="T13" s="65" t="s">
        <v>59</v>
      </c>
    </row>
    <row r="15" spans="1:20" s="69" customFormat="1">
      <c r="A15" s="163" t="s">
        <v>108</v>
      </c>
      <c r="B15" s="67">
        <f>IF(B17,SUM(B17/B26),"")</f>
        <v>2.8810060060562603E-3</v>
      </c>
      <c r="C15" s="67">
        <f>IF(C17,SUM(C17/B26),"")</f>
        <v>1.4451951951864554E-3</v>
      </c>
      <c r="D15" s="67">
        <f>IF(D17,SUM(D17/B26),"")</f>
        <v>4.2229729729729732E-3</v>
      </c>
      <c r="E15" s="67">
        <f>IF(E17,SUM(E17/B26),"")</f>
        <v>6.1280030030182982E-3</v>
      </c>
      <c r="F15" s="67">
        <f>IF(F17,SUM(F17/B26),0)</f>
        <v>2.2428678679028272E-3</v>
      </c>
      <c r="G15" s="67" t="str">
        <f>IF(G17,SUM(G17/B26),"")</f>
        <v/>
      </c>
      <c r="H15" s="67">
        <f>IF(H17,SUM(H17/B26),"")</f>
        <v>7.9767267271637211E-4</v>
      </c>
      <c r="I15" s="67">
        <f>IF(I17,SUM(I17/B26),"")</f>
        <v>9.478228227660136E-4</v>
      </c>
      <c r="J15" s="67" t="str">
        <f>IF(J17,SUM(J17/B26),"")</f>
        <v/>
      </c>
      <c r="K15" s="67">
        <f>IF(K17,SUM(K17/B26),"")</f>
        <v>5.3490990998201397E-4</v>
      </c>
      <c r="L15" s="67" t="str">
        <f>IF(L17,SUM(L17/B26),"")</f>
        <v/>
      </c>
      <c r="M15" s="67" t="str">
        <f>IF(M17,SUM(M17/B26),"")</f>
        <v/>
      </c>
      <c r="N15" s="67">
        <f>IF(K17,SUM(K17/B26),"")</f>
        <v>5.3490990998201397E-4</v>
      </c>
      <c r="O15" s="67"/>
      <c r="P15" s="67">
        <f>IF(P17,SUM(P17/B26),"")</f>
        <v>4.1197447447032303E-3</v>
      </c>
      <c r="Q15" s="67">
        <f>IF(Q17,SUM(Q17/B26),"")</f>
        <v>5.0675675673709196E-4</v>
      </c>
      <c r="R15" s="67"/>
      <c r="S15" s="67">
        <f>IF(S17,SUM(S17/B26),"")</f>
        <v>2.4408783783901773E-2</v>
      </c>
      <c r="T15" s="68" t="e">
        <f>IF(T17,SUM(T17/L13),"")</f>
        <v>#VALUE!</v>
      </c>
    </row>
    <row r="16" spans="1:20">
      <c r="A16" s="66" t="s">
        <v>60</v>
      </c>
      <c r="B16" s="70">
        <f>[1]reliabilitySummary!$B$7</f>
        <v>5.4000000000000003E-3</v>
      </c>
      <c r="C16" s="70">
        <f>[1]reliabilitySummary!$B$8</f>
        <v>1.2000000000000001E-3</v>
      </c>
      <c r="D16" s="70">
        <f>[1]reliabilitySummary!$B$9</f>
        <v>5.4000000000000003E-3</v>
      </c>
      <c r="E16" s="70">
        <f>[1]reliabilitySummary!$B$10</f>
        <v>3.0000000000000001E-3</v>
      </c>
      <c r="F16" s="70">
        <v>2.8E-3</v>
      </c>
      <c r="G16" s="70">
        <v>2.8E-3</v>
      </c>
      <c r="H16" s="70">
        <f>[1]reliabilitySummary!$B$16</f>
        <v>3.6000000000000003E-3</v>
      </c>
      <c r="I16" s="70">
        <f>[1]reliabilitySummary!$B$18</f>
        <v>1.2000000000000001E-3</v>
      </c>
      <c r="J16" s="70">
        <f>[1]reliabilitySummary!$B$19</f>
        <v>0</v>
      </c>
      <c r="K16" s="70">
        <f>[1]reliabilitySummary!$B$20</f>
        <v>6.0000000000000006E-4</v>
      </c>
      <c r="L16" s="70">
        <f>[1]reliabilitySummary!$B$24</f>
        <v>6.0000000000000006E-4</v>
      </c>
      <c r="M16" s="70">
        <f>[1]reliabilitySummary!$B$25</f>
        <v>1.8000000000000002E-3</v>
      </c>
      <c r="N16" s="70">
        <f>[1]reliabilitySummary!$B$25</f>
        <v>1.8000000000000002E-3</v>
      </c>
      <c r="O16" s="70">
        <f>[1]reliabilitySummary!$B$27</f>
        <v>1.8000000000000002E-3</v>
      </c>
      <c r="P16" s="70">
        <f>[1]reliabilitySummary!$B$11</f>
        <v>1.2000000000000001E-3</v>
      </c>
      <c r="Q16" s="70">
        <f>[1]reliabilitySummary!$B$28</f>
        <v>6.0000000000000006E-4</v>
      </c>
      <c r="R16" s="70"/>
      <c r="S16" s="70">
        <v>0.03</v>
      </c>
      <c r="T16" s="71"/>
    </row>
    <row r="17" spans="1:20" s="69" customFormat="1">
      <c r="A17" s="66" t="s">
        <v>61</v>
      </c>
      <c r="B17" s="68">
        <f>GETPIVOTDATA("Sum of System
Length",$A$3,"Group","RF")</f>
        <v>5.1166666667559184</v>
      </c>
      <c r="C17" s="68">
        <f>GETPIVOTDATA("Sum of System
Length",$A$3,"Group","DIA")</f>
        <v>2.5666666666511446</v>
      </c>
      <c r="D17" s="68">
        <f>GETPIVOTDATA("Sum of System
Length",$A$3,"Group","PS")</f>
        <v>7.5</v>
      </c>
      <c r="E17" s="68">
        <f>GETPIVOTDATA("Sum of System
Length",$A$3,"Group","CTL")</f>
        <v>10.883333333360497</v>
      </c>
      <c r="F17" s="68">
        <f>GETPIVOTDATA("Sum of System
Length",$A$3,"Group","SI")</f>
        <v>3.9833333333954215</v>
      </c>
      <c r="G17" s="68"/>
      <c r="H17" s="68">
        <f>GETPIVOTDATA("Sum of System
Length",$A$3,"Group","MOM")</f>
        <v>1.4166666667442769</v>
      </c>
      <c r="I17" s="68">
        <f>GETPIVOTDATA("Sum of System
Length",$A$3,"Group","AOP")</f>
        <v>1.6833333332324401</v>
      </c>
      <c r="J17" s="68"/>
      <c r="K17" s="68">
        <f>GETPIVOTDATA("Sum of System
Length",$A$3,"Group","UES")</f>
        <v>0.95000000012805685</v>
      </c>
      <c r="L17" s="68"/>
      <c r="M17" s="68"/>
      <c r="N17" s="68">
        <f>GETPIVOTDATA("Sum of System
Length",$A$3,"Group","FMS")</f>
        <v>0.55000000004656613</v>
      </c>
      <c r="O17" s="68">
        <f>GETPIVOTDATA("Sum of System
Length",$A$3,"Group","Weather")</f>
        <v>0.48333333333721384</v>
      </c>
      <c r="P17" s="68">
        <f>GETPIVOTDATA("Sum of System
Length",$A$3,"Group","IT")</f>
        <v>7.316666666592937</v>
      </c>
      <c r="Q17" s="68">
        <f>GETPIVOTDATA("Sum of System
Length",$A$3,"Group","UNK")</f>
        <v>0.8999999999650754</v>
      </c>
      <c r="R17" s="68"/>
      <c r="S17" s="72">
        <f>'Main Data'!J68</f>
        <v>43.350000000209548</v>
      </c>
      <c r="T17" s="73">
        <f>SUM(B17:Q17)</f>
        <v>43.350000000209548</v>
      </c>
    </row>
    <row r="18" spans="1:20">
      <c r="A18" s="75" t="s">
        <v>62</v>
      </c>
      <c r="B18">
        <f>GETPIVOTDATA("Sum - Store Lost",$A$3,"Group","Rf")</f>
        <v>4</v>
      </c>
      <c r="C18">
        <f>GETPIVOTDATA("Sum - Store Lost",$A$3,"Group","DIA")</f>
        <v>2</v>
      </c>
      <c r="D18">
        <f>GETPIVOTDATA("Sum - Store Lost",$A$3,"Group","PS")</f>
        <v>6</v>
      </c>
      <c r="E18">
        <f>GETPIVOTDATA("Sum - Store Lost",$A$3,"Group","CTL")</f>
        <v>3</v>
      </c>
      <c r="F18">
        <f>GETPIVOTDATA("Sum - Store Lost",$A$3,"Group","SI")</f>
        <v>3</v>
      </c>
      <c r="H18">
        <f>GETPIVOTDATA("Sum - Store Lost",$A$3,"Group","MOM")</f>
        <v>2</v>
      </c>
      <c r="I18">
        <f>GETPIVOTDATA("Sum - Store Lost",$A$3,"Group","AOP")</f>
        <v>1</v>
      </c>
      <c r="K18">
        <f>GETPIVOTDATA("Sum - Store Lost",$A$3,"Group","UES")</f>
        <v>1</v>
      </c>
      <c r="N18">
        <f>GETPIVOTDATA("Sum - Store Lost",$A$3,"Group","FMS")</f>
        <v>1</v>
      </c>
      <c r="O18">
        <f>GETPIVOTDATA("Sum - Store Lost",$A$3,"Group","Weather")</f>
        <v>0</v>
      </c>
      <c r="P18">
        <f>GETPIVOTDATA("Sum - Store Lost",$A$3,"Group","IT")</f>
        <v>1</v>
      </c>
      <c r="Q18">
        <f>GETPIVOTDATA("Sum - Store Lost",$A$3,"Group","UNK")</f>
        <v>1</v>
      </c>
      <c r="S18" s="72">
        <f>SUM(B18:R18)</f>
        <v>25</v>
      </c>
    </row>
    <row r="19" spans="1:20">
      <c r="A19" s="75"/>
      <c r="B19" s="74"/>
      <c r="C19" s="74"/>
      <c r="D19" s="74"/>
      <c r="E19" s="74"/>
      <c r="G19" s="74"/>
      <c r="H19" s="74"/>
      <c r="I19" s="74"/>
      <c r="M19" s="74"/>
      <c r="O19" s="74"/>
      <c r="T19" s="72"/>
    </row>
    <row r="20" spans="1:20" ht="13.5" thickBot="1">
      <c r="A20" s="75"/>
      <c r="B20" s="74"/>
      <c r="C20" s="74"/>
      <c r="D20" s="74"/>
      <c r="E20" s="74"/>
      <c r="G20" s="74"/>
      <c r="H20" s="74"/>
      <c r="I20" s="74"/>
      <c r="M20" s="74"/>
      <c r="O20" s="74"/>
      <c r="T20" s="72"/>
    </row>
    <row r="21" spans="1:20">
      <c r="B21" s="61" t="s">
        <v>23</v>
      </c>
      <c r="C21" s="62" t="s">
        <v>45</v>
      </c>
      <c r="D21" s="62" t="s">
        <v>22</v>
      </c>
      <c r="E21" s="62" t="s">
        <v>46</v>
      </c>
      <c r="F21" s="188" t="s">
        <v>73</v>
      </c>
      <c r="G21" s="62" t="s">
        <v>47</v>
      </c>
      <c r="H21" s="62" t="s">
        <v>24</v>
      </c>
      <c r="I21" s="62" t="s">
        <v>49</v>
      </c>
      <c r="J21" s="62" t="s">
        <v>50</v>
      </c>
      <c r="K21" s="62" t="s">
        <v>51</v>
      </c>
      <c r="L21" s="62" t="s">
        <v>52</v>
      </c>
      <c r="M21" s="62" t="s">
        <v>53</v>
      </c>
      <c r="N21" s="62" t="s">
        <v>54</v>
      </c>
      <c r="O21" s="62" t="s">
        <v>55</v>
      </c>
      <c r="P21" s="63" t="s">
        <v>56</v>
      </c>
      <c r="Q21" s="64" t="s">
        <v>57</v>
      </c>
      <c r="R21" s="187" t="s">
        <v>72</v>
      </c>
      <c r="S21" s="72"/>
    </row>
    <row r="22" spans="1:20">
      <c r="A22" s="163" t="s">
        <v>108</v>
      </c>
      <c r="B22" s="76">
        <f t="shared" ref="B22:E22" si="0">B18/($B25/24)</f>
        <v>5.540645831530408E-2</v>
      </c>
      <c r="C22" s="134">
        <f>C18/($B25/24)</f>
        <v>2.770322915765204E-2</v>
      </c>
      <c r="D22" s="77">
        <f t="shared" si="0"/>
        <v>8.310968747295612E-2</v>
      </c>
      <c r="E22" s="77">
        <f t="shared" si="0"/>
        <v>4.155484373647806E-2</v>
      </c>
      <c r="F22" s="76">
        <f t="shared" ref="F22:S22" si="1">F18/($B25/24)</f>
        <v>4.155484373647806E-2</v>
      </c>
      <c r="G22" s="76">
        <f t="shared" si="1"/>
        <v>0</v>
      </c>
      <c r="H22" s="76">
        <f t="shared" si="1"/>
        <v>2.770322915765204E-2</v>
      </c>
      <c r="I22" s="77">
        <f t="shared" si="1"/>
        <v>1.385161457882602E-2</v>
      </c>
      <c r="J22" s="77">
        <f t="shared" si="1"/>
        <v>0</v>
      </c>
      <c r="K22" s="76" t="e">
        <f>#REF!/($B25/24)</f>
        <v>#REF!</v>
      </c>
      <c r="L22" s="76">
        <f t="shared" si="1"/>
        <v>0</v>
      </c>
      <c r="M22" s="76">
        <f t="shared" si="1"/>
        <v>0</v>
      </c>
      <c r="N22" s="76">
        <f>K18/($B25/24)</f>
        <v>1.385161457882602E-2</v>
      </c>
      <c r="O22" s="76">
        <f t="shared" si="1"/>
        <v>0</v>
      </c>
      <c r="P22" s="76">
        <f t="shared" si="1"/>
        <v>1.385161457882602E-2</v>
      </c>
      <c r="Q22" s="76">
        <f t="shared" si="1"/>
        <v>1.385161457882602E-2</v>
      </c>
      <c r="R22" s="76">
        <f t="shared" si="1"/>
        <v>0</v>
      </c>
      <c r="S22" s="76">
        <f t="shared" si="1"/>
        <v>0.34629036447065048</v>
      </c>
    </row>
    <row r="23" spans="1:20">
      <c r="A23" s="78" t="s">
        <v>60</v>
      </c>
      <c r="B23" s="79">
        <f>[1]reliabilitySummary!$F$7</f>
        <v>0.12</v>
      </c>
      <c r="C23" s="79">
        <f>[1]reliabilitySummary!$F$8</f>
        <v>0.03</v>
      </c>
      <c r="D23" s="79">
        <v>0.12</v>
      </c>
      <c r="E23" s="79">
        <v>0.05</v>
      </c>
      <c r="F23" s="79">
        <v>3.5000000000000003E-2</v>
      </c>
      <c r="G23" s="79">
        <v>3.5000000000000003E-2</v>
      </c>
      <c r="H23" s="79">
        <v>0.06</v>
      </c>
      <c r="I23" s="79">
        <v>0.02</v>
      </c>
      <c r="J23" s="80">
        <v>0</v>
      </c>
      <c r="K23" s="80">
        <v>0.01</v>
      </c>
      <c r="L23" s="80">
        <v>0.01</v>
      </c>
      <c r="M23" s="80">
        <v>0.01</v>
      </c>
      <c r="N23" s="80">
        <v>0.01</v>
      </c>
      <c r="O23" s="80">
        <v>0.02</v>
      </c>
      <c r="P23" s="80">
        <v>0.01</v>
      </c>
      <c r="Q23" s="80">
        <v>0.02</v>
      </c>
      <c r="R23" s="80"/>
      <c r="S23" s="80">
        <f>SUM(B23:Q23)</f>
        <v>0.56000000000000005</v>
      </c>
      <c r="T23" s="81"/>
    </row>
    <row r="25" spans="1:20">
      <c r="A25" s="37" t="s">
        <v>32</v>
      </c>
      <c r="B25" s="69">
        <f>'Main Data'!D70</f>
        <v>1732.6499999997905</v>
      </c>
    </row>
    <row r="26" spans="1:20">
      <c r="A26" s="82" t="s">
        <v>36</v>
      </c>
      <c r="B26" s="80">
        <f>'Main Data'!D72</f>
        <v>1776</v>
      </c>
    </row>
    <row r="30" spans="1:20">
      <c r="A30" s="83"/>
    </row>
    <row r="36" spans="1:9">
      <c r="A36" s="84" t="s">
        <v>63</v>
      </c>
    </row>
    <row r="37" spans="1:9">
      <c r="A37" s="83"/>
      <c r="B37" s="114"/>
      <c r="C37" s="115" t="s">
        <v>12</v>
      </c>
      <c r="D37" s="114"/>
      <c r="E37" s="114"/>
      <c r="F37" s="114"/>
      <c r="G37" s="114"/>
      <c r="H37" s="114"/>
      <c r="I37" s="116"/>
    </row>
    <row r="38" spans="1:9">
      <c r="A38" s="115" t="s">
        <v>15</v>
      </c>
      <c r="B38" s="115" t="s">
        <v>40</v>
      </c>
      <c r="C38" s="83" t="s">
        <v>22</v>
      </c>
      <c r="D38" s="117" t="s">
        <v>23</v>
      </c>
      <c r="E38" s="117" t="s">
        <v>66</v>
      </c>
      <c r="F38" s="117" t="s">
        <v>24</v>
      </c>
      <c r="G38" s="117" t="s">
        <v>68</v>
      </c>
      <c r="H38" s="117" t="s">
        <v>67</v>
      </c>
      <c r="I38" s="118" t="s">
        <v>58</v>
      </c>
    </row>
    <row r="39" spans="1:9">
      <c r="A39" s="83" t="s">
        <v>17</v>
      </c>
      <c r="B39" s="83" t="s">
        <v>42</v>
      </c>
      <c r="C39" s="119">
        <v>4</v>
      </c>
      <c r="D39" s="120">
        <v>2</v>
      </c>
      <c r="E39" s="120">
        <v>3</v>
      </c>
      <c r="F39" s="120">
        <v>1</v>
      </c>
      <c r="G39" s="120">
        <v>1</v>
      </c>
      <c r="H39" s="120">
        <v>1</v>
      </c>
      <c r="I39" s="121">
        <v>12</v>
      </c>
    </row>
    <row r="40" spans="1:9">
      <c r="A40" s="122"/>
      <c r="B40" s="123" t="s">
        <v>41</v>
      </c>
      <c r="C40" s="12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125">
        <v>0</v>
      </c>
    </row>
    <row r="41" spans="1:9">
      <c r="A41" s="83" t="s">
        <v>65</v>
      </c>
      <c r="B41" s="83" t="s">
        <v>42</v>
      </c>
      <c r="C41" s="119">
        <v>0</v>
      </c>
      <c r="D41" s="120"/>
      <c r="E41" s="120"/>
      <c r="F41" s="120"/>
      <c r="G41" s="120"/>
      <c r="H41" s="120"/>
      <c r="I41" s="121">
        <v>0</v>
      </c>
    </row>
    <row r="42" spans="1:9">
      <c r="A42" s="122"/>
      <c r="B42" s="123" t="s">
        <v>41</v>
      </c>
      <c r="C42" s="124">
        <v>1</v>
      </c>
      <c r="D42" s="74"/>
      <c r="E42" s="74"/>
      <c r="F42" s="74"/>
      <c r="G42" s="74"/>
      <c r="H42" s="74"/>
      <c r="I42" s="125">
        <v>1</v>
      </c>
    </row>
    <row r="43" spans="1:9">
      <c r="A43" s="83" t="s">
        <v>44</v>
      </c>
      <c r="B43" s="114"/>
      <c r="C43" s="119">
        <v>4</v>
      </c>
      <c r="D43" s="120">
        <v>2</v>
      </c>
      <c r="E43" s="120">
        <v>3</v>
      </c>
      <c r="F43" s="120">
        <v>1</v>
      </c>
      <c r="G43" s="120">
        <v>1</v>
      </c>
      <c r="H43" s="120">
        <v>1</v>
      </c>
      <c r="I43" s="121">
        <v>12</v>
      </c>
    </row>
    <row r="44" spans="1:9">
      <c r="A44" s="126" t="s">
        <v>43</v>
      </c>
      <c r="B44" s="127"/>
      <c r="C44" s="128">
        <v>1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30">
        <v>1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scale="42" firstPageNumber="0" orientation="portrait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5" zoomScaleNormal="75" workbookViewId="0">
      <selection sqref="A1:XFD1048576"/>
    </sheetView>
  </sheetViews>
  <sheetFormatPr defaultRowHeight="12.75"/>
  <cols>
    <col min="20" max="20" width="12" customWidth="1"/>
    <col min="21" max="21" width="3" customWidth="1"/>
  </cols>
  <sheetData/>
  <phoneticPr fontId="0" type="noConversion"/>
  <pageMargins left="0.74791666666666701" right="0.74791666666666701" top="0.98402777777777795" bottom="0.98402777777777795" header="0.51180555555555596" footer="0.51180555555555596"/>
  <pageSetup scale="45" firstPageNumber="0" orientation="portrait" horizontalDpi="300" verticalDpi="300" r:id="rId1"/>
  <headerFooter alignWithMargins="0"/>
  <drawing r:id="rId2"/>
  <webPublishItems count="1">
    <webPublishItem id="2133" divId="Run2011-2DowntimeDetails_2133" sourceType="sheet" destinationFile="Y:\2014\2014-2\Run2014-2Downtime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sqref="A1:XFD1048576"/>
    </sheetView>
  </sheetViews>
  <sheetFormatPr defaultRowHeight="12.75"/>
  <sheetData/>
  <phoneticPr fontId="0" type="noConversion"/>
  <pageMargins left="0.74791666666666667" right="0.74791666666666667" top="0.98402777777777772" bottom="0.98402777777777772" header="0.51180555555555551" footer="0.51180555555555551"/>
  <pageSetup scale="35" firstPageNumber="0" orientation="portrait" horizontalDpi="300" verticalDpi="300" r:id="rId1"/>
  <headerFooter alignWithMargins="0"/>
  <drawing r:id="rId2"/>
  <webPublishItems count="1">
    <webPublishItem id="1446" divId="Run2009-3DowntimeDetails_1446" sourceType="sheet" destinationFile="Y:\2014\2014-2\Run2014-2LostStore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Main Data</vt:lpstr>
      <vt:lpstr>Stats</vt:lpstr>
      <vt:lpstr>Downtime</vt:lpstr>
      <vt:lpstr>Faults Per Day</vt:lpstr>
      <vt:lpstr>_1Excel_BuiltIn_Print_Area_1_1</vt:lpstr>
      <vt:lpstr>_2Excel_BuiltIn_Print_Area_1_1_1_1</vt:lpstr>
      <vt:lpstr>_3Excel_BuiltIn_Print_Area_4_1</vt:lpstr>
      <vt:lpstr>Excel_BuiltIn_Print_Area_1_1</vt:lpstr>
      <vt:lpstr>Excel_BuiltIn_Print_Area_1_1_1</vt:lpstr>
      <vt:lpstr>Excel_BuiltIn_Print_Area_1_1_1_1</vt:lpstr>
      <vt:lpstr>Faults_Day_of_Delivered_Beam</vt:lpstr>
      <vt:lpstr>Mean_Time_Between_Faults</vt:lpstr>
      <vt:lpstr>Number_of_Fills</vt:lpstr>
      <vt:lpstr>Number_of_Intentional_Dumps</vt:lpstr>
      <vt:lpstr>Number_of_Lost_Fills</vt:lpstr>
      <vt:lpstr>'Faults Per Day'!Print_Area</vt:lpstr>
      <vt:lpstr>'Main Data'!Print_Area</vt:lpstr>
      <vt:lpstr>'Main Data'!Print_Titles</vt:lpstr>
      <vt:lpstr>Refill_Time</vt:lpstr>
      <vt:lpstr>Total_Schedule_Run_Length</vt:lpstr>
      <vt:lpstr>Total_System_Downtime</vt:lpstr>
      <vt:lpstr>Total_User_Beam</vt:lpstr>
      <vt:lpstr>Total_User_Downtime</vt:lpstr>
      <vt:lpstr>User_Beam_Days</vt:lpstr>
      <vt:lpstr>X_ray_Availability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cp:lastModifiedBy>Flood, Randy J.</cp:lastModifiedBy>
  <cp:revision>5</cp:revision>
  <cp:lastPrinted>2014-08-26T17:16:18Z</cp:lastPrinted>
  <dcterms:created xsi:type="dcterms:W3CDTF">1998-01-15T00:06:45Z</dcterms:created>
  <dcterms:modified xsi:type="dcterms:W3CDTF">2014-08-26T17:35:37Z</dcterms:modified>
</cp:coreProperties>
</file>