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tabRatio="927" activeTab="2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Data'!$A$2:$P$61</definedName>
    <definedName name="Excel_BuiltIn_Print_Area_1_1_1">'Main Data'!$A$2:$P$84</definedName>
    <definedName name="Excel_BuiltIn_Print_Area_1_1_11">'Main Data'!$A$2:$P$85</definedName>
    <definedName name="Excel_BuiltIn_Print_Area_1_1_1_1">'Main Data'!$A$2:$P$70</definedName>
    <definedName name="Excel_BuiltIn_Print_Area_41">'Faults Per Day'!$A$1:$W$67</definedName>
    <definedName name="Faults_Day_of_Delivered_Beam">'Main Data'!$D$113</definedName>
    <definedName name="Mean_Time_Between_Faults">'Main Data'!$D$112</definedName>
    <definedName name="Number_of_Fills">'Main Data'!$D$105</definedName>
    <definedName name="Number_of_Intentional_Dumps">'Main Data'!$D$104</definedName>
    <definedName name="Number_of_Lost_Fills">'Main Data'!$D$103</definedName>
    <definedName name="_xlnm.Print_Area" localSheetId="3">'Faults Per Day'!$A$1:$AC$81</definedName>
    <definedName name="_xlnm.Print_Area" localSheetId="0">'Main Data'!$A$2:$P$71</definedName>
    <definedName name="_xlnm.Print_Titles" localSheetId="0">'Main Data'!$5:$5</definedName>
    <definedName name="Refill_Time">'Main Data'!$D$1</definedName>
    <definedName name="Total_Schedule_Run_Length">'Main Data'!$D$109</definedName>
    <definedName name="Total_System_Downtime">'Main Data'!$K$105</definedName>
    <definedName name="Total_User_Beam">'Main Data'!$D$107</definedName>
    <definedName name="Total_User_Downtime">'Main Data'!$D$108</definedName>
    <definedName name="User_Beam_Days">'Main Data'!$E$107</definedName>
    <definedName name="X_ray_Availability">'Main Data'!$D$114</definedName>
  </definedNames>
  <calcPr fullCalcOnLoad="1"/>
  <pivotCaches>
    <pivotCache cacheId="7" r:id="rId5"/>
    <pivotCache cacheId="10" r:id="rId6"/>
  </pivotCaches>
</workbook>
</file>

<file path=xl/sharedStrings.xml><?xml version="1.0" encoding="utf-8"?>
<sst xmlns="http://schemas.openxmlformats.org/spreadsheetml/2006/main" count="282" uniqueCount="106">
  <si>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</si>
  <si>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</si>
  <si>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</si>
  <si>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</si>
  <si>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</si>
  <si>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</si>
  <si>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</si>
  <si>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</si>
  <si>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</si>
  <si>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</si>
  <si>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</si>
  <si>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</si>
  <si>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</si>
  <si>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</si>
  <si>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</si>
  <si>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</si>
  <si>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</si>
  <si>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</si>
  <si>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</si>
  <si>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</si>
  <si>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</si>
  <si>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 xml:space="preserve">  Int Dump: End of Period</t>
  </si>
  <si>
    <t>Scheduled</t>
  </si>
  <si>
    <t>PS</t>
  </si>
  <si>
    <t>RF</t>
  </si>
  <si>
    <t>CTL</t>
  </si>
  <si>
    <t>MOM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</si>
  <si>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</si>
  <si>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</si>
  <si>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</si>
  <si>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</si>
  <si>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</si>
  <si>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</si>
  <si>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</si>
  <si>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</si>
  <si>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</si>
  <si>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</si>
  <si>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</si>
  <si>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</si>
  <si>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</si>
  <si>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</si>
  <si>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</si>
  <si>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</si>
  <si>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</si>
  <si>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</si>
  <si>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</si>
  <si>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</si>
  <si>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</si>
  <si>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</si>
  <si>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</si>
  <si>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</si>
  <si>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</si>
  <si>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</si>
  <si>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</si>
  <si>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</si>
  <si>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</si>
  <si>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</si>
  <si>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</si>
  <si>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</si>
  <si>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</si>
  <si>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</si>
  <si>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</si>
  <si>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</si>
  <si>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</si>
  <si>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</si>
  <si>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</si>
  <si>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</si>
  <si>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</si>
  <si>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Sum of System
Length</t>
  </si>
  <si>
    <t>Inhibits Beam to User</t>
  </si>
  <si>
    <t>SI</t>
  </si>
  <si>
    <t>Weather</t>
  </si>
  <si>
    <t>OTH</t>
  </si>
  <si>
    <t>Run 2010-2</t>
  </si>
  <si>
    <t>Downtime for Run 2011-2</t>
  </si>
  <si>
    <t>Run 2011-2</t>
  </si>
  <si>
    <t>24ID BPLD trip [DIAG]</t>
  </si>
  <si>
    <t>DIA</t>
  </si>
  <si>
    <t>SR RF Cathode Voltage Sag</t>
  </si>
  <si>
    <t>RF3 Circ Arc trip [RF[</t>
  </si>
  <si>
    <t>RF2 HVPS SCR water [RF]</t>
  </si>
  <si>
    <t>S8 MPS Flow faults [MOM]</t>
  </si>
  <si>
    <t>S34ID CU steering [AOP]</t>
  </si>
  <si>
    <t>23ID PSS Ch B dead [SI]</t>
  </si>
  <si>
    <t>Replaced hardware, validated BPLD, refilled</t>
  </si>
  <si>
    <t>Repair S29LMPS module,validate</t>
  </si>
  <si>
    <t>Large orbit error [AOP]</t>
  </si>
  <si>
    <t>Power outage [OTH]</t>
  </si>
  <si>
    <t>RF2 crowbar [RF]</t>
  </si>
  <si>
    <t>AOP</t>
  </si>
  <si>
    <t>ComEd</t>
  </si>
  <si>
    <t xml:space="preserve">S12B:V2:PS trip [PS]     </t>
  </si>
  <si>
    <t xml:space="preserve">S13/14 Flow faults [MOM] </t>
  </si>
  <si>
    <t>RF2 Mod Anode Sag [RF]</t>
  </si>
  <si>
    <t>T-strom effects [OTH]</t>
  </si>
  <si>
    <t>RF-2 Circ Arc [RF]</t>
  </si>
  <si>
    <t>13ID PSS trip [SI]</t>
  </si>
  <si>
    <t xml:space="preserve">S32A:S4:PS trip [PS]     </t>
  </si>
  <si>
    <t xml:space="preserve">RF3 Cathode OL trip[RF]  </t>
  </si>
  <si>
    <t xml:space="preserve">Com-Ed Voltage sag [OTH] </t>
  </si>
  <si>
    <t>Com-Ed V sag on Phase B [OTH]</t>
  </si>
  <si>
    <t>Com-ED report voltage sag on all 3 phases, refill</t>
  </si>
  <si>
    <t>Human Error [AOP]</t>
  </si>
  <si>
    <t>Beam Dump</t>
  </si>
  <si>
    <t xml:space="preserve">7BM PSS ChainB dead [SI] </t>
  </si>
  <si>
    <t>P0 Error [CTL]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</si>
</sst>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name val="Bitstream Vera Sans"/>
      <family val="0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3.9"/>
      <color indexed="8"/>
      <name val="Arial"/>
      <family val="2"/>
    </font>
    <font>
      <sz val="23"/>
      <color indexed="8"/>
      <name val="Arial"/>
      <family val="2"/>
    </font>
    <font>
      <b/>
      <sz val="18.8"/>
      <color indexed="8"/>
      <name val="Arial"/>
      <family val="2"/>
    </font>
    <font>
      <b/>
      <sz val="17.1"/>
      <color indexed="8"/>
      <name val="Arial"/>
      <family val="2"/>
    </font>
    <font>
      <sz val="15.85"/>
      <color indexed="8"/>
      <name val="Arial"/>
      <family val="2"/>
    </font>
    <font>
      <sz val="12"/>
      <color indexed="8"/>
      <name val="Arial"/>
      <family val="2"/>
    </font>
    <font>
      <sz val="39.9"/>
      <color indexed="8"/>
      <name val="Arial"/>
      <family val="2"/>
    </font>
    <font>
      <b/>
      <sz val="39.9"/>
      <color indexed="8"/>
      <name val="Arial"/>
      <family val="2"/>
    </font>
    <font>
      <b/>
      <sz val="44.6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0" fontId="0" fillId="0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9" fontId="0" fillId="0" borderId="0" xfId="63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69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6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0" fillId="34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Border="1" applyAlignment="1">
      <alignment wrapText="1"/>
    </xf>
    <xf numFmtId="2" fontId="0" fillId="0" borderId="19" xfId="0" applyNumberFormat="1" applyFont="1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0" fillId="0" borderId="19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6" fontId="0" fillId="0" borderId="19" xfId="0" applyNumberFormat="1" applyFont="1" applyBorder="1" applyAlignment="1">
      <alignment wrapText="1"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 wrapText="1"/>
    </xf>
    <xf numFmtId="2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NumberFormat="1" applyBorder="1" applyAlignment="1" applyProtection="1">
      <alignment/>
      <protection locked="0"/>
    </xf>
    <xf numFmtId="164" fontId="0" fillId="0" borderId="31" xfId="0" applyNumberFormat="1" applyFont="1" applyFill="1" applyBorder="1" applyAlignment="1">
      <alignment/>
    </xf>
    <xf numFmtId="164" fontId="0" fillId="33" borderId="31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 textRotation="90"/>
    </xf>
    <xf numFmtId="164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textRotation="90"/>
    </xf>
    <xf numFmtId="2" fontId="1" fillId="0" borderId="18" xfId="0" applyNumberFormat="1" applyFont="1" applyFill="1" applyBorder="1" applyAlignment="1">
      <alignment horizontal="center" textRotation="90" wrapText="1"/>
    </xf>
    <xf numFmtId="165" fontId="1" fillId="0" borderId="18" xfId="0" applyNumberFormat="1" applyFont="1" applyFill="1" applyBorder="1" applyAlignment="1">
      <alignment horizontal="center" textRotation="90" wrapText="1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34" borderId="25" xfId="0" applyNumberFormat="1" applyFont="1" applyFill="1" applyBorder="1" applyAlignment="1">
      <alignment horizontal="right"/>
    </xf>
    <xf numFmtId="164" fontId="0" fillId="34" borderId="32" xfId="0" applyNumberFormat="1" applyFont="1" applyFill="1" applyBorder="1" applyAlignment="1">
      <alignment horizontal="left"/>
    </xf>
    <xf numFmtId="2" fontId="0" fillId="35" borderId="25" xfId="0" applyNumberFormat="1" applyFont="1" applyFill="1" applyBorder="1" applyAlignment="1">
      <alignment horizontal="right"/>
    </xf>
    <xf numFmtId="164" fontId="0" fillId="34" borderId="25" xfId="0" applyNumberFormat="1" applyFont="1" applyFill="1" applyBorder="1" applyAlignment="1">
      <alignment/>
    </xf>
    <xf numFmtId="0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 horizontal="right"/>
    </xf>
    <xf numFmtId="0" fontId="0" fillId="34" borderId="25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>
      <alignment/>
      <protection locked="0"/>
    </xf>
    <xf numFmtId="0" fontId="0" fillId="34" borderId="25" xfId="0" applyNumberFormat="1" applyFont="1" applyFill="1" applyBorder="1" applyAlignment="1" applyProtection="1">
      <alignment horizontal="left"/>
      <protection/>
    </xf>
    <xf numFmtId="164" fontId="0" fillId="0" borderId="19" xfId="0" applyNumberFormat="1" applyBorder="1" applyAlignment="1">
      <alignment wrapText="1"/>
    </xf>
    <xf numFmtId="166" fontId="5" fillId="33" borderId="19" xfId="0" applyNumberFormat="1" applyFont="1" applyFill="1" applyBorder="1" applyAlignment="1">
      <alignment wrapText="1"/>
    </xf>
    <xf numFmtId="0" fontId="0" fillId="0" borderId="29" xfId="0" applyNumberFormat="1" applyBorder="1" applyAlignment="1">
      <alignment/>
    </xf>
    <xf numFmtId="2" fontId="0" fillId="36" borderId="19" xfId="0" applyNumberFormat="1" applyFont="1" applyFill="1" applyBorder="1" applyAlignment="1">
      <alignment horizontal="right"/>
    </xf>
    <xf numFmtId="166" fontId="0" fillId="37" borderId="19" xfId="0" applyNumberFormat="1" applyFont="1" applyFill="1" applyBorder="1" applyAlignment="1">
      <alignment wrapText="1"/>
    </xf>
    <xf numFmtId="2" fontId="0" fillId="0" borderId="28" xfId="0" applyNumberForma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166" fontId="0" fillId="33" borderId="19" xfId="0" applyNumberFormat="1" applyFont="1" applyFill="1" applyBorder="1" applyAlignment="1">
      <alignment wrapText="1"/>
    </xf>
    <xf numFmtId="166" fontId="0" fillId="0" borderId="19" xfId="0" applyNumberFormat="1" applyFont="1" applyFill="1" applyBorder="1" applyAlignment="1">
      <alignment wrapText="1"/>
    </xf>
    <xf numFmtId="164" fontId="0" fillId="0" borderId="19" xfId="0" applyNumberFormat="1" applyFont="1" applyFill="1" applyBorder="1" applyAlignment="1">
      <alignment wrapText="1"/>
    </xf>
    <xf numFmtId="164" fontId="0" fillId="0" borderId="19" xfId="0" applyNumberFormat="1" applyFont="1" applyFill="1" applyBorder="1" applyAlignment="1">
      <alignment/>
    </xf>
    <xf numFmtId="164" fontId="0" fillId="32" borderId="19" xfId="0" applyNumberFormat="1" applyFont="1" applyFill="1" applyBorder="1" applyAlignment="1">
      <alignment wrapText="1"/>
    </xf>
    <xf numFmtId="166" fontId="0" fillId="32" borderId="19" xfId="0" applyNumberFormat="1" applyFont="1" applyFill="1" applyBorder="1" applyAlignment="1">
      <alignment wrapText="1"/>
    </xf>
    <xf numFmtId="2" fontId="0" fillId="32" borderId="19" xfId="0" applyNumberFormat="1" applyFont="1" applyFill="1" applyBorder="1" applyAlignment="1">
      <alignment horizontal="right"/>
    </xf>
    <xf numFmtId="0" fontId="0" fillId="32" borderId="19" xfId="0" applyNumberFormat="1" applyFont="1" applyFill="1" applyBorder="1" applyAlignment="1" applyProtection="1">
      <alignment/>
      <protection/>
    </xf>
    <xf numFmtId="0" fontId="0" fillId="32" borderId="19" xfId="0" applyNumberFormat="1" applyFont="1" applyFill="1" applyBorder="1" applyAlignment="1" applyProtection="1">
      <alignment/>
      <protection locked="0"/>
    </xf>
    <xf numFmtId="0" fontId="0" fillId="32" borderId="19" xfId="0" applyNumberFormat="1" applyFont="1" applyFill="1" applyBorder="1" applyAlignment="1" applyProtection="1">
      <alignment horizontal="left"/>
      <protection/>
    </xf>
    <xf numFmtId="164" fontId="0" fillId="32" borderId="31" xfId="0" applyNumberFormat="1" applyFont="1" applyFill="1" applyBorder="1" applyAlignment="1">
      <alignment/>
    </xf>
    <xf numFmtId="164" fontId="0" fillId="38" borderId="19" xfId="0" applyNumberFormat="1" applyFont="1" applyFill="1" applyBorder="1" applyAlignment="1">
      <alignment wrapText="1"/>
    </xf>
    <xf numFmtId="166" fontId="0" fillId="38" borderId="19" xfId="0" applyNumberFormat="1" applyFont="1" applyFill="1" applyBorder="1" applyAlignment="1">
      <alignment wrapText="1"/>
    </xf>
    <xf numFmtId="2" fontId="0" fillId="38" borderId="19" xfId="0" applyNumberFormat="1" applyFont="1" applyFill="1" applyBorder="1" applyAlignment="1">
      <alignment horizontal="right"/>
    </xf>
    <xf numFmtId="0" fontId="0" fillId="38" borderId="19" xfId="0" applyNumberFormat="1" applyFont="1" applyFill="1" applyBorder="1" applyAlignment="1" applyProtection="1">
      <alignment/>
      <protection/>
    </xf>
    <xf numFmtId="0" fontId="0" fillId="38" borderId="19" xfId="0" applyNumberFormat="1" applyFont="1" applyFill="1" applyBorder="1" applyAlignment="1" applyProtection="1">
      <alignment/>
      <protection locked="0"/>
    </xf>
    <xf numFmtId="0" fontId="0" fillId="38" borderId="19" xfId="0" applyNumberFormat="1" applyFont="1" applyFill="1" applyBorder="1" applyAlignment="1" applyProtection="1">
      <alignment horizontal="left"/>
      <protection/>
    </xf>
    <xf numFmtId="164" fontId="0" fillId="38" borderId="31" xfId="0" applyNumberFormat="1" applyFont="1" applyFill="1" applyBorder="1" applyAlignment="1">
      <alignment/>
    </xf>
    <xf numFmtId="166" fontId="0" fillId="0" borderId="19" xfId="0" applyNumberFormat="1" applyBorder="1" applyAlignment="1">
      <alignment wrapText="1"/>
    </xf>
    <xf numFmtId="0" fontId="0" fillId="39" borderId="19" xfId="0" applyNumberFormat="1" applyFont="1" applyFill="1" applyBorder="1" applyAlignment="1">
      <alignment horizontal="right"/>
    </xf>
    <xf numFmtId="164" fontId="0" fillId="39" borderId="19" xfId="0" applyNumberFormat="1" applyFont="1" applyFill="1" applyBorder="1" applyAlignment="1">
      <alignment wrapText="1"/>
    </xf>
    <xf numFmtId="2" fontId="0" fillId="39" borderId="19" xfId="0" applyNumberFormat="1" applyFont="1" applyFill="1" applyBorder="1" applyAlignment="1">
      <alignment horizontal="right"/>
    </xf>
    <xf numFmtId="164" fontId="0" fillId="39" borderId="19" xfId="0" applyNumberFormat="1" applyFont="1" applyFill="1" applyBorder="1" applyAlignment="1">
      <alignment/>
    </xf>
    <xf numFmtId="0" fontId="0" fillId="39" borderId="19" xfId="0" applyNumberFormat="1" applyFon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6" fontId="0" fillId="39" borderId="19" xfId="0" applyNumberFormat="1" applyFont="1" applyFill="1" applyBorder="1" applyAlignment="1">
      <alignment wrapText="1"/>
    </xf>
    <xf numFmtId="0" fontId="0" fillId="39" borderId="19" xfId="0" applyNumberFormat="1" applyFont="1" applyFill="1" applyBorder="1" applyAlignment="1" applyProtection="1">
      <alignment/>
      <protection/>
    </xf>
    <xf numFmtId="0" fontId="0" fillId="39" borderId="19" xfId="0" applyNumberFormat="1" applyFont="1" applyFill="1" applyBorder="1" applyAlignment="1" applyProtection="1">
      <alignment/>
      <protection locked="0"/>
    </xf>
    <xf numFmtId="0" fontId="0" fillId="39" borderId="19" xfId="0" applyNumberFormat="1" applyFont="1" applyFill="1" applyBorder="1" applyAlignment="1" applyProtection="1">
      <alignment horizontal="left"/>
      <protection/>
    </xf>
    <xf numFmtId="164" fontId="0" fillId="39" borderId="31" xfId="0" applyNumberFormat="1" applyFont="1" applyFill="1" applyBorder="1" applyAlignment="1">
      <alignment/>
    </xf>
    <xf numFmtId="166" fontId="5" fillId="39" borderId="19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2011-2 Downtime by System 
June 1 - August 25, 2011
 Scheduled User Time =  1728 hours     
User downtime=  32.82 hours</a:t>
            </a:r>
          </a:p>
        </c:rich>
      </c:tx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075"/>
          <c:w val="0.841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2010-2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0.0019869593734414483</c:v>
                </c:pt>
                <c:pt idx="1">
                  <c:v>0.002257031521257443</c:v>
                </c:pt>
                <c:pt idx="2">
                  <c:v>0.0019676685056753394</c:v>
                </c:pt>
                <c:pt idx="3">
                  <c:v>0.0009163162158584063</c:v>
                </c:pt>
                <c:pt idx="4">
                  <c:v>0</c:v>
                </c:pt>
                <c:pt idx="5">
                  <c:v>0.001958023071792285</c:v>
                </c:pt>
                <c:pt idx="6">
                  <c:v>0</c:v>
                </c:pt>
                <c:pt idx="7">
                  <c:v>0.0021798680503951253</c:v>
                </c:pt>
                <c:pt idx="8">
                  <c:v>0.0008102164435490429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0.006549249585270547</c:v>
                </c:pt>
                <c:pt idx="13">
                  <c:v>0</c:v>
                </c:pt>
                <c:pt idx="14">
                  <c:v>0.00015432694162357679</c:v>
                </c:pt>
                <c:pt idx="15">
                  <c:v>0</c:v>
                </c:pt>
                <c:pt idx="16">
                  <c:v>0.00021219954471978574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0.0006000000000000001</c:v>
                </c:pt>
                <c:pt idx="5">
                  <c:v>0.0006000000000000001</c:v>
                </c:pt>
                <c:pt idx="6">
                  <c:v>0.0006000000000000001</c:v>
                </c:pt>
                <c:pt idx="7">
                  <c:v>0.0036000000000000003</c:v>
                </c:pt>
                <c:pt idx="8">
                  <c:v>0.0012000000000000001</c:v>
                </c:pt>
                <c:pt idx="9">
                  <c:v>0</c:v>
                </c:pt>
                <c:pt idx="10">
                  <c:v>0.0006000000000000001</c:v>
                </c:pt>
                <c:pt idx="11">
                  <c:v>0.0006000000000000001</c:v>
                </c:pt>
                <c:pt idx="12">
                  <c:v>0.0018000000000000002</c:v>
                </c:pt>
                <c:pt idx="13">
                  <c:v>0.0006000000000000001</c:v>
                </c:pt>
                <c:pt idx="14">
                  <c:v>0.0018000000000000002</c:v>
                </c:pt>
                <c:pt idx="15">
                  <c:v>0.0012000000000000001</c:v>
                </c:pt>
                <c:pt idx="16">
                  <c:v>0.0006000000000000001</c:v>
                </c:pt>
              </c:numCache>
            </c:numRef>
          </c:val>
        </c:ser>
        <c:axId val="62348047"/>
        <c:axId val="24261512"/>
      </c:barChart>
      <c:catAx>
        <c:axId val="6234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804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50375"/>
          <c:w val="0.2085"/>
          <c:h val="0.02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2011-2 Faults Per Day By System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45"/>
          <c:w val="0.938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2011-2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Stats!$B$22:$R$22</c:f>
              <c:numCache>
                <c:ptCount val="17"/>
                <c:pt idx="0">
                  <c:v>0.09910822263951055</c:v>
                </c:pt>
                <c:pt idx="1">
                  <c:v>0.01415831751993008</c:v>
                </c:pt>
                <c:pt idx="2">
                  <c:v>0.02831663503986016</c:v>
                </c:pt>
                <c:pt idx="3">
                  <c:v>0.01415831751993008</c:v>
                </c:pt>
                <c:pt idx="4">
                  <c:v>0</c:v>
                </c:pt>
                <c:pt idx="5">
                  <c:v>0.04247495255979024</c:v>
                </c:pt>
                <c:pt idx="6">
                  <c:v>0</c:v>
                </c:pt>
                <c:pt idx="8">
                  <c:v>0.04247495255979024</c:v>
                </c:pt>
                <c:pt idx="9">
                  <c:v>0</c:v>
                </c:pt>
                <c:pt idx="10">
                  <c:v>0</c:v>
                </c:pt>
                <c:pt idx="12">
                  <c:v>0.02831663503986016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Stats!$B$21:$R$21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Stats!$B$23:$R$23</c:f>
              <c:numCache>
                <c:ptCount val="17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0.06</c:v>
                </c:pt>
                <c:pt idx="8">
                  <c:v>0.02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0.02</c:v>
                </c:pt>
              </c:numCache>
            </c:numRef>
          </c:val>
        </c:ser>
        <c:axId val="17027017"/>
        <c:axId val="19025426"/>
      </c:barChart>
      <c:cat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5426"/>
        <c:crossesAt val="0"/>
        <c:auto val="1"/>
        <c:lblOffset val="100"/>
        <c:tickLblSkip val="1"/>
        <c:noMultiLvlLbl val="0"/>
      </c:catAx>
      <c:valAx>
        <c:axId val="19025426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17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.97725"/>
          <c:w val="0.11325"/>
          <c:h val="0.01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103</xdr:row>
      <xdr:rowOff>76200</xdr:rowOff>
    </xdr:from>
    <xdr:to>
      <xdr:col>11</xdr:col>
      <xdr:colOff>85725</xdr:colOff>
      <xdr:row>104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8230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85725</xdr:rowOff>
    </xdr:from>
    <xdr:to>
      <xdr:col>11</xdr:col>
      <xdr:colOff>85725</xdr:colOff>
      <xdr:row>60</xdr:row>
      <xdr:rowOff>104775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96350" y="109347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\2011Fy\reliability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3">
          <cell r="B13">
            <v>0.0006000000000000001</v>
          </cell>
        </row>
        <row r="14">
          <cell r="B14">
            <v>0.0006000000000000001</v>
          </cell>
        </row>
        <row r="15">
          <cell r="B15">
            <v>0.0006000000000000001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7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s v="RF"/>
        <m/>
        <s v="DIA"/>
        <s v="OTH"/>
        <s v="SI"/>
        <s v="MOM"/>
        <s v="CTL"/>
        <s v="AOP"/>
        <s v="ComEd"/>
        <s v="PS"/>
        <s v="Weather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8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16">
        <s v="RF"/>
        <m/>
        <s v="DIA"/>
        <s v="OTH"/>
        <s v="SI"/>
        <s v="MOM"/>
        <s v="CTL"/>
        <s v="AOP"/>
        <s v="ComEd"/>
        <s v="PS"/>
        <s v="Weather"/>
        <s v="FMS"/>
        <s v="OPS"/>
        <s v="ESH"/>
        <s v="UNK"/>
        <s v="FMS-H2O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5">
        <s v="Store Lost"/>
        <s v="Scheduled"/>
        <m/>
        <s v="Inhibits Beam to User"/>
        <s v="Beam Dump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M46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16">
        <item h="1" x="1"/>
        <item m="1" x="15"/>
        <item x="9"/>
        <item x="0"/>
        <item m="1" x="13"/>
        <item x="4"/>
        <item x="2"/>
        <item x="6"/>
        <item x="5"/>
        <item m="1" x="11"/>
        <item m="1" x="14"/>
        <item m="1" x="12"/>
        <item x="8"/>
        <item x="10"/>
        <item x="3"/>
        <item x="7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1"/>
        <item x="2"/>
        <item x="0"/>
        <item x="3"/>
        <item x="4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8"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rowItems>
  <colFields count="1">
    <field x="11"/>
  </colFields>
  <colItems count="11">
    <i>
      <x v="2"/>
    </i>
    <i>
      <x v="3"/>
    </i>
    <i>
      <x v="5"/>
    </i>
    <i>
      <x v="6"/>
    </i>
    <i>
      <x v="7"/>
    </i>
    <i>
      <x v="8"/>
    </i>
    <i>
      <x v="12"/>
    </i>
    <i>
      <x v="13"/>
    </i>
    <i>
      <x v="14"/>
    </i>
    <i>
      <x v="15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0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1"/>
        <item x="9"/>
        <item x="0"/>
        <item x="6"/>
        <item x="4"/>
        <item x="3"/>
        <item x="2"/>
        <item x="5"/>
        <item x="7"/>
        <item x="8"/>
        <item x="1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0" baseItem="0"/>
    <dataField name="Sum of System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2">
            <x v="2"/>
            <x v="3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zoomScale="75" zoomScaleNormal="75" workbookViewId="0" topLeftCell="A18">
      <selection activeCell="N40" sqref="N40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138" t="s">
        <v>3</v>
      </c>
      <c r="B5" s="139" t="s">
        <v>4</v>
      </c>
      <c r="C5" s="139" t="s">
        <v>5</v>
      </c>
      <c r="D5" s="140" t="s">
        <v>6</v>
      </c>
      <c r="E5" s="141" t="s">
        <v>7</v>
      </c>
      <c r="F5" s="138" t="s">
        <v>8</v>
      </c>
      <c r="G5" s="142" t="s">
        <v>9</v>
      </c>
      <c r="H5" s="139" t="s">
        <v>4</v>
      </c>
      <c r="I5" s="139" t="s">
        <v>5</v>
      </c>
      <c r="J5" s="143" t="s">
        <v>10</v>
      </c>
      <c r="K5" s="144" t="s">
        <v>11</v>
      </c>
      <c r="L5" s="145" t="s">
        <v>12</v>
      </c>
      <c r="M5" s="146" t="s">
        <v>13</v>
      </c>
      <c r="N5" s="146" t="s">
        <v>14</v>
      </c>
      <c r="O5" s="145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34" customFormat="1" ht="12.75">
      <c r="A6" s="96">
        <v>1</v>
      </c>
      <c r="B6" s="97">
        <v>40695.333333333336</v>
      </c>
      <c r="C6" s="158">
        <v>40698.751388888886</v>
      </c>
      <c r="D6" s="98">
        <f>(C6-B6)*24</f>
        <v>82.03333333320916</v>
      </c>
      <c r="E6" s="99" t="s">
        <v>79</v>
      </c>
      <c r="F6" s="100">
        <v>105779</v>
      </c>
      <c r="G6" s="101"/>
      <c r="H6" s="158">
        <v>40698.751388888886</v>
      </c>
      <c r="I6" s="102">
        <v>40698.770833333336</v>
      </c>
      <c r="J6" s="98">
        <f>(I6-H6)*24</f>
        <v>0.466666666790843</v>
      </c>
      <c r="K6" s="161">
        <f>(I6-H6)*24</f>
        <v>0.466666666790843</v>
      </c>
      <c r="L6" s="103" t="s">
        <v>24</v>
      </c>
      <c r="M6" s="104" t="s">
        <v>24</v>
      </c>
      <c r="N6" s="104" t="s">
        <v>24</v>
      </c>
      <c r="O6" s="105" t="s">
        <v>17</v>
      </c>
      <c r="P6" s="136"/>
      <c r="Q6" s="35">
        <f aca="true" t="shared" si="0" ref="Q6:Q57">IF($O6="Store Lost",1,"")</f>
        <v>1</v>
      </c>
      <c r="R6" s="35">
        <f aca="true" t="shared" si="1" ref="R6:R57">IF($O6="Scheduled",1,"")</f>
      </c>
      <c r="S6" s="35">
        <f aca="true" t="shared" si="2" ref="S6:S57">IF($O6="Inhibits beam to user",1,"")</f>
      </c>
      <c r="T6" s="36">
        <f aca="true" t="shared" si="3" ref="T6:T14">SUM(Q6:S6)</f>
        <v>1</v>
      </c>
      <c r="U6" s="30"/>
      <c r="V6" s="30"/>
      <c r="W6" s="30"/>
    </row>
    <row r="7" spans="1:23" s="34" customFormat="1" ht="15">
      <c r="A7" s="106">
        <v>2</v>
      </c>
      <c r="B7" s="162">
        <v>40698.770833333336</v>
      </c>
      <c r="C7" s="107">
        <v>40701.333333333336</v>
      </c>
      <c r="D7" s="108">
        <f>(C7-B7)*24</f>
        <v>61.5</v>
      </c>
      <c r="E7" s="109" t="s">
        <v>21</v>
      </c>
      <c r="F7" s="110"/>
      <c r="G7" s="111"/>
      <c r="H7" s="159"/>
      <c r="I7" s="159"/>
      <c r="J7" s="108">
        <f>(I7-H7)*24</f>
        <v>0</v>
      </c>
      <c r="K7" s="108">
        <f>(I7-H7)*24</f>
        <v>0</v>
      </c>
      <c r="L7" s="112"/>
      <c r="M7" s="113"/>
      <c r="N7" s="113"/>
      <c r="O7" s="114" t="s">
        <v>22</v>
      </c>
      <c r="P7" s="137"/>
      <c r="Q7" s="35">
        <f t="shared" si="0"/>
      </c>
      <c r="R7" s="35">
        <f t="shared" si="1"/>
        <v>1</v>
      </c>
      <c r="S7" s="35">
        <f t="shared" si="2"/>
      </c>
      <c r="T7" s="36">
        <f t="shared" si="3"/>
        <v>1</v>
      </c>
      <c r="U7" s="30"/>
      <c r="V7" s="30"/>
      <c r="W7" s="30"/>
    </row>
    <row r="8" spans="1:23" s="34" customFormat="1" ht="12.75">
      <c r="A8" s="147"/>
      <c r="B8" s="148"/>
      <c r="C8" s="148"/>
      <c r="D8" s="149">
        <f>SUM(D6:D7)</f>
        <v>143.53333333320916</v>
      </c>
      <c r="E8" s="150"/>
      <c r="F8" s="151"/>
      <c r="G8" s="152"/>
      <c r="H8" s="153"/>
      <c r="I8" s="153"/>
      <c r="J8" s="154">
        <f>SUM(J6:J7)</f>
        <v>0.466666666790843</v>
      </c>
      <c r="K8" s="154">
        <f>SUM(K6:K7)</f>
        <v>0.466666666790843</v>
      </c>
      <c r="L8" s="155"/>
      <c r="M8" s="156"/>
      <c r="N8" s="156"/>
      <c r="O8" s="157"/>
      <c r="P8" s="95"/>
      <c r="Q8" s="35">
        <f t="shared" si="0"/>
      </c>
      <c r="R8" s="35">
        <f t="shared" si="1"/>
      </c>
      <c r="S8" s="35">
        <f t="shared" si="2"/>
      </c>
      <c r="T8" s="36">
        <f t="shared" si="3"/>
        <v>0</v>
      </c>
      <c r="U8" s="30"/>
      <c r="V8" s="30"/>
      <c r="W8" s="30"/>
    </row>
    <row r="9" spans="1:23" s="34" customFormat="1" ht="15">
      <c r="A9" s="106">
        <v>3</v>
      </c>
      <c r="B9" s="107">
        <v>40702.333333333336</v>
      </c>
      <c r="C9" s="107">
        <v>40708.333333333336</v>
      </c>
      <c r="D9" s="108">
        <f>(C9-B9)*24</f>
        <v>144</v>
      </c>
      <c r="E9" s="109" t="s">
        <v>21</v>
      </c>
      <c r="F9" s="110"/>
      <c r="G9" s="111"/>
      <c r="H9" s="159"/>
      <c r="I9" s="159"/>
      <c r="J9" s="108">
        <f>(I9-H9)*24</f>
        <v>0</v>
      </c>
      <c r="K9" s="108">
        <f>(I9-H9)*24</f>
        <v>0</v>
      </c>
      <c r="L9" s="112"/>
      <c r="M9" s="113"/>
      <c r="N9" s="113"/>
      <c r="O9" s="114" t="s">
        <v>22</v>
      </c>
      <c r="P9" s="137"/>
      <c r="Q9" s="35">
        <f t="shared" si="0"/>
      </c>
      <c r="R9" s="35">
        <f t="shared" si="1"/>
        <v>1</v>
      </c>
      <c r="S9" s="35">
        <f t="shared" si="2"/>
      </c>
      <c r="T9" s="36">
        <f t="shared" si="3"/>
        <v>1</v>
      </c>
      <c r="U9" s="30"/>
      <c r="V9" s="30"/>
      <c r="W9" s="30"/>
    </row>
    <row r="10" spans="1:23" s="34" customFormat="1" ht="12.75">
      <c r="A10" s="147"/>
      <c r="B10" s="148"/>
      <c r="C10" s="148"/>
      <c r="D10" s="149">
        <f>SUM(D9:D9)</f>
        <v>144</v>
      </c>
      <c r="E10" s="150"/>
      <c r="F10" s="151"/>
      <c r="G10" s="152"/>
      <c r="H10" s="153"/>
      <c r="I10" s="153"/>
      <c r="J10" s="154">
        <f>SUM(J9:J9)</f>
        <v>0</v>
      </c>
      <c r="K10" s="154">
        <f>SUM(K9:K9)</f>
        <v>0</v>
      </c>
      <c r="L10" s="155"/>
      <c r="M10" s="156"/>
      <c r="N10" s="156"/>
      <c r="O10" s="157"/>
      <c r="P10" s="95"/>
      <c r="Q10" s="35">
        <f t="shared" si="0"/>
      </c>
      <c r="R10" s="35">
        <f t="shared" si="1"/>
      </c>
      <c r="S10" s="35">
        <f t="shared" si="2"/>
      </c>
      <c r="T10" s="36">
        <f t="shared" si="3"/>
        <v>0</v>
      </c>
      <c r="U10" s="30"/>
      <c r="V10" s="30"/>
      <c r="W10" s="30"/>
    </row>
    <row r="11" spans="1:23" s="34" customFormat="1" ht="12.75">
      <c r="A11" s="96">
        <v>4</v>
      </c>
      <c r="B11" s="97">
        <v>40709.333333333336</v>
      </c>
      <c r="C11" s="158">
        <v>40710.745833333334</v>
      </c>
      <c r="D11" s="98">
        <f>(C11-B11)*24</f>
        <v>33.899999999965075</v>
      </c>
      <c r="E11" s="99" t="s">
        <v>76</v>
      </c>
      <c r="F11" s="100">
        <v>105781</v>
      </c>
      <c r="G11" s="101"/>
      <c r="H11" s="158">
        <v>40710.745833333334</v>
      </c>
      <c r="I11" s="102">
        <v>40710.90833333333</v>
      </c>
      <c r="J11" s="98">
        <f>(I11-H11)*24</f>
        <v>3.8999999999650754</v>
      </c>
      <c r="K11" s="161">
        <f>(I11-H11)*24</f>
        <v>3.8999999999650754</v>
      </c>
      <c r="L11" s="103" t="s">
        <v>77</v>
      </c>
      <c r="M11" s="104" t="s">
        <v>77</v>
      </c>
      <c r="N11" s="104" t="s">
        <v>77</v>
      </c>
      <c r="O11" s="105" t="s">
        <v>17</v>
      </c>
      <c r="P11" s="136" t="s">
        <v>84</v>
      </c>
      <c r="Q11" s="35">
        <f t="shared" si="0"/>
        <v>1</v>
      </c>
      <c r="R11" s="35">
        <f t="shared" si="1"/>
      </c>
      <c r="S11" s="35">
        <f t="shared" si="2"/>
      </c>
      <c r="T11" s="36">
        <f t="shared" si="3"/>
        <v>1</v>
      </c>
      <c r="U11" s="30"/>
      <c r="V11" s="30"/>
      <c r="W11" s="30"/>
    </row>
    <row r="12" spans="1:23" s="34" customFormat="1" ht="12.75">
      <c r="A12" s="106">
        <v>5</v>
      </c>
      <c r="B12" s="162">
        <v>40710.90833333333</v>
      </c>
      <c r="C12" s="107">
        <v>40711.64444444444</v>
      </c>
      <c r="D12" s="108">
        <f>(C12-B12)*24</f>
        <v>17.66666666662786</v>
      </c>
      <c r="E12" s="109" t="s">
        <v>78</v>
      </c>
      <c r="F12" s="110">
        <v>105782</v>
      </c>
      <c r="G12" s="111"/>
      <c r="H12" s="107">
        <v>40711.64444444444</v>
      </c>
      <c r="I12" s="165">
        <v>40711.65972222222</v>
      </c>
      <c r="J12" s="108">
        <f>(I12-H12)*24</f>
        <v>0.3666666666395031</v>
      </c>
      <c r="K12" s="108">
        <f>(I12-H12)*24</f>
        <v>0.3666666666395031</v>
      </c>
      <c r="L12" s="112" t="s">
        <v>72</v>
      </c>
      <c r="M12" s="113" t="s">
        <v>72</v>
      </c>
      <c r="N12" s="113" t="s">
        <v>72</v>
      </c>
      <c r="O12" s="114" t="s">
        <v>17</v>
      </c>
      <c r="P12" s="137"/>
      <c r="Q12" s="35">
        <f t="shared" si="0"/>
        <v>1</v>
      </c>
      <c r="R12" s="35">
        <f t="shared" si="1"/>
      </c>
      <c r="S12" s="35">
        <f t="shared" si="2"/>
      </c>
      <c r="T12" s="36">
        <f t="shared" si="3"/>
        <v>1</v>
      </c>
      <c r="U12" s="30"/>
      <c r="V12" s="30"/>
      <c r="W12" s="30"/>
    </row>
    <row r="13" spans="1:23" s="34" customFormat="1" ht="12.75">
      <c r="A13" s="96">
        <v>6</v>
      </c>
      <c r="B13" s="97">
        <v>40711.65972222222</v>
      </c>
      <c r="C13" s="158">
        <v>40714.34375</v>
      </c>
      <c r="D13" s="98">
        <f>(C13-B13)*24</f>
        <v>64.41666666674428</v>
      </c>
      <c r="E13" s="99" t="s">
        <v>83</v>
      </c>
      <c r="F13" s="100">
        <v>105785</v>
      </c>
      <c r="G13" s="101"/>
      <c r="H13" s="158">
        <v>40714.34375</v>
      </c>
      <c r="I13" s="102">
        <v>40714.37291666667</v>
      </c>
      <c r="J13" s="98">
        <f>(I13-H13)*24</f>
        <v>0.7000000000116415</v>
      </c>
      <c r="K13" s="161">
        <f>(I13-H13)*24</f>
        <v>0.7000000000116415</v>
      </c>
      <c r="L13" s="103" t="s">
        <v>70</v>
      </c>
      <c r="M13" s="104" t="s">
        <v>70</v>
      </c>
      <c r="N13" s="104" t="s">
        <v>70</v>
      </c>
      <c r="O13" s="105" t="s">
        <v>17</v>
      </c>
      <c r="P13" s="136"/>
      <c r="Q13" s="35">
        <f t="shared" si="0"/>
        <v>1</v>
      </c>
      <c r="R13" s="35">
        <f t="shared" si="1"/>
      </c>
      <c r="S13" s="35">
        <f t="shared" si="2"/>
      </c>
      <c r="T13" s="36">
        <f t="shared" si="3"/>
        <v>1</v>
      </c>
      <c r="U13" s="30"/>
      <c r="V13" s="30"/>
      <c r="W13" s="30"/>
    </row>
    <row r="14" spans="1:23" s="34" customFormat="1" ht="15">
      <c r="A14" s="106">
        <v>7</v>
      </c>
      <c r="B14" s="162">
        <v>40714.37291666667</v>
      </c>
      <c r="C14" s="107">
        <v>40715.333333333336</v>
      </c>
      <c r="D14" s="108">
        <f>(C14-B14)*24</f>
        <v>23.050000000046566</v>
      </c>
      <c r="E14" s="109" t="s">
        <v>21</v>
      </c>
      <c r="F14" s="110"/>
      <c r="G14" s="111"/>
      <c r="H14" s="159"/>
      <c r="I14" s="159"/>
      <c r="J14" s="108">
        <f>(I14-H14)*24</f>
        <v>0</v>
      </c>
      <c r="K14" s="108">
        <f>(I14-H14)*24</f>
        <v>0</v>
      </c>
      <c r="L14" s="112"/>
      <c r="M14" s="113"/>
      <c r="N14" s="113"/>
      <c r="O14" s="114" t="s">
        <v>22</v>
      </c>
      <c r="P14" s="137"/>
      <c r="Q14" s="35">
        <f t="shared" si="0"/>
      </c>
      <c r="R14" s="35">
        <f t="shared" si="1"/>
        <v>1</v>
      </c>
      <c r="S14" s="35">
        <f t="shared" si="2"/>
      </c>
      <c r="T14" s="36">
        <f t="shared" si="3"/>
        <v>1</v>
      </c>
      <c r="U14" s="30"/>
      <c r="V14" s="30"/>
      <c r="W14" s="30"/>
    </row>
    <row r="15" spans="1:23" s="34" customFormat="1" ht="12.75">
      <c r="A15" s="147"/>
      <c r="B15" s="148"/>
      <c r="C15" s="148"/>
      <c r="D15" s="149">
        <f>SUM(D11:D14)</f>
        <v>139.03333333338378</v>
      </c>
      <c r="E15" s="150"/>
      <c r="F15" s="151"/>
      <c r="G15" s="152"/>
      <c r="H15" s="153"/>
      <c r="I15" s="153"/>
      <c r="J15" s="154">
        <f>SUM(J11:J14)</f>
        <v>4.96666666661622</v>
      </c>
      <c r="K15" s="154">
        <f>SUM(K11:K14)</f>
        <v>4.96666666661622</v>
      </c>
      <c r="L15" s="155"/>
      <c r="M15" s="156"/>
      <c r="N15" s="156"/>
      <c r="O15" s="157"/>
      <c r="P15" s="95"/>
      <c r="Q15" s="35">
        <f t="shared" si="0"/>
      </c>
      <c r="R15" s="35">
        <f t="shared" si="1"/>
      </c>
      <c r="S15" s="35">
        <f t="shared" si="2"/>
      </c>
      <c r="T15" s="36">
        <f>SUM(Q15:S15)</f>
        <v>0</v>
      </c>
      <c r="U15" s="30"/>
      <c r="V15" s="30"/>
      <c r="W15" s="30"/>
    </row>
    <row r="16" spans="1:23" s="34" customFormat="1" ht="12.75">
      <c r="A16" s="106">
        <v>8</v>
      </c>
      <c r="B16" s="162">
        <v>40716.333333333336</v>
      </c>
      <c r="C16" s="107">
        <v>40716.575694444444</v>
      </c>
      <c r="D16" s="108">
        <f>(C16-B16)*24</f>
        <v>5.816666666592937</v>
      </c>
      <c r="E16" s="109" t="s">
        <v>81</v>
      </c>
      <c r="F16" s="110">
        <v>105786</v>
      </c>
      <c r="G16" s="111"/>
      <c r="H16" s="107">
        <v>40716.575694444444</v>
      </c>
      <c r="I16" s="165">
        <v>40716.63888888889</v>
      </c>
      <c r="J16" s="108">
        <f>(I16-H16)*24</f>
        <v>1.5166666667209938</v>
      </c>
      <c r="K16" s="108"/>
      <c r="L16" s="112"/>
      <c r="M16" s="113"/>
      <c r="N16" s="113"/>
      <c r="O16" s="114"/>
      <c r="P16" s="35" t="s">
        <v>85</v>
      </c>
      <c r="Q16" s="35">
        <f t="shared" si="0"/>
      </c>
      <c r="R16" s="35">
        <f t="shared" si="1"/>
      </c>
      <c r="S16" s="35">
        <f t="shared" si="2"/>
      </c>
      <c r="T16" s="36">
        <f>SUM(P16:S16)</f>
        <v>0</v>
      </c>
      <c r="U16" s="30"/>
      <c r="V16" s="30"/>
      <c r="W16" s="30"/>
    </row>
    <row r="17" spans="1:23" s="34" customFormat="1" ht="12.75">
      <c r="A17" s="96"/>
      <c r="B17" s="166"/>
      <c r="C17" s="167"/>
      <c r="D17" s="98"/>
      <c r="E17" s="168"/>
      <c r="F17" s="100"/>
      <c r="G17" s="101"/>
      <c r="H17" s="169">
        <v>40716.575694444444</v>
      </c>
      <c r="I17" s="170">
        <v>40716.59652777778</v>
      </c>
      <c r="J17" s="171"/>
      <c r="K17" s="171">
        <f>(I17-H17)*24</f>
        <v>0.5000000000582077</v>
      </c>
      <c r="L17" s="172" t="s">
        <v>26</v>
      </c>
      <c r="M17" s="173" t="s">
        <v>26</v>
      </c>
      <c r="N17" s="173" t="s">
        <v>26</v>
      </c>
      <c r="O17" s="174" t="s">
        <v>17</v>
      </c>
      <c r="P17" s="175"/>
      <c r="Q17" s="35">
        <f t="shared" si="0"/>
        <v>1</v>
      </c>
      <c r="R17" s="35">
        <f t="shared" si="1"/>
      </c>
      <c r="S17" s="35">
        <f t="shared" si="2"/>
      </c>
      <c r="T17" s="36">
        <f>SUM(Q17:S17)</f>
        <v>1</v>
      </c>
      <c r="U17" s="30"/>
      <c r="V17" s="30"/>
      <c r="W17" s="30"/>
    </row>
    <row r="18" spans="1:23" s="34" customFormat="1" ht="12.75">
      <c r="A18" s="96"/>
      <c r="B18" s="166"/>
      <c r="C18" s="167"/>
      <c r="D18" s="98"/>
      <c r="E18" s="168"/>
      <c r="F18" s="100"/>
      <c r="G18" s="101"/>
      <c r="H18" s="176">
        <v>40716.59652777778</v>
      </c>
      <c r="I18" s="177">
        <v>40716.63888888889</v>
      </c>
      <c r="J18" s="178"/>
      <c r="K18" s="178">
        <f>(I18-H18)*24</f>
        <v>1.0166666666627862</v>
      </c>
      <c r="L18" s="179" t="s">
        <v>25</v>
      </c>
      <c r="M18" s="180" t="s">
        <v>25</v>
      </c>
      <c r="N18" s="180" t="s">
        <v>25</v>
      </c>
      <c r="O18" s="181" t="s">
        <v>69</v>
      </c>
      <c r="P18" s="182"/>
      <c r="Q18" s="35">
        <f t="shared" si="0"/>
      </c>
      <c r="R18" s="35">
        <f t="shared" si="1"/>
      </c>
      <c r="S18" s="35">
        <f t="shared" si="2"/>
        <v>1</v>
      </c>
      <c r="T18" s="36">
        <f>SUM(Q18:S18)</f>
        <v>1</v>
      </c>
      <c r="U18" s="30"/>
      <c r="V18" s="30"/>
      <c r="W18" s="30"/>
    </row>
    <row r="19" spans="1:23" s="34" customFormat="1" ht="12.75">
      <c r="A19" s="96">
        <v>9</v>
      </c>
      <c r="B19" s="97">
        <v>40716.63888888889</v>
      </c>
      <c r="C19" s="158">
        <v>40716.71527777778</v>
      </c>
      <c r="D19" s="98">
        <f>(C19-B19)*24</f>
        <v>1.8333333333721384</v>
      </c>
      <c r="E19" s="99" t="s">
        <v>82</v>
      </c>
      <c r="F19" s="100">
        <v>105787</v>
      </c>
      <c r="G19" s="101"/>
      <c r="H19" s="158">
        <v>40716.71527777778</v>
      </c>
      <c r="I19" s="102">
        <v>40716.73055555556</v>
      </c>
      <c r="J19" s="98">
        <f>(I19-H19)*24</f>
        <v>0.3666666666395031</v>
      </c>
      <c r="K19" s="161">
        <f>(I19-H19)*24</f>
        <v>0.3666666666395031</v>
      </c>
      <c r="L19" s="103" t="s">
        <v>89</v>
      </c>
      <c r="M19" s="104" t="s">
        <v>89</v>
      </c>
      <c r="N19" s="104" t="s">
        <v>89</v>
      </c>
      <c r="O19" s="105" t="s">
        <v>17</v>
      </c>
      <c r="P19" s="136"/>
      <c r="Q19" s="35">
        <f t="shared" si="0"/>
        <v>1</v>
      </c>
      <c r="R19" s="35">
        <f t="shared" si="1"/>
      </c>
      <c r="S19" s="35">
        <f t="shared" si="2"/>
      </c>
      <c r="T19" s="36">
        <f>SUM(Q19:S19)</f>
        <v>1</v>
      </c>
      <c r="U19" s="30"/>
      <c r="V19" s="30"/>
      <c r="W19" s="30"/>
    </row>
    <row r="20" spans="1:23" s="34" customFormat="1" ht="15">
      <c r="A20" s="106">
        <v>10</v>
      </c>
      <c r="B20" s="162">
        <v>40716.73055555556</v>
      </c>
      <c r="C20" s="107">
        <v>40721.333333333336</v>
      </c>
      <c r="D20" s="108">
        <f>(C20-B20)*24</f>
        <v>110.46666666667443</v>
      </c>
      <c r="E20" s="109" t="s">
        <v>21</v>
      </c>
      <c r="F20" s="110"/>
      <c r="G20" s="111"/>
      <c r="H20" s="159"/>
      <c r="I20" s="159"/>
      <c r="J20" s="108">
        <f>(I20-H20)*24</f>
        <v>0</v>
      </c>
      <c r="K20" s="108">
        <f>(I20-H20)*24</f>
        <v>0</v>
      </c>
      <c r="L20" s="112"/>
      <c r="M20" s="113"/>
      <c r="N20" s="113"/>
      <c r="O20" s="114" t="s">
        <v>22</v>
      </c>
      <c r="P20" s="137"/>
      <c r="Q20" s="35">
        <f t="shared" si="0"/>
      </c>
      <c r="R20" s="35">
        <f t="shared" si="1"/>
        <v>1</v>
      </c>
      <c r="S20" s="35">
        <f t="shared" si="2"/>
      </c>
      <c r="T20" s="36">
        <f>SUM(Q20:S20)</f>
        <v>1</v>
      </c>
      <c r="U20" s="30"/>
      <c r="V20" s="30"/>
      <c r="W20" s="30"/>
    </row>
    <row r="21" spans="1:23" s="34" customFormat="1" ht="12.75">
      <c r="A21" s="147"/>
      <c r="B21" s="148"/>
      <c r="C21" s="148"/>
      <c r="D21" s="149">
        <f>SUM(D16:D20)</f>
        <v>118.1166666666395</v>
      </c>
      <c r="E21" s="150"/>
      <c r="F21" s="151"/>
      <c r="G21" s="152"/>
      <c r="H21" s="153"/>
      <c r="I21" s="153"/>
      <c r="J21" s="154">
        <f>SUM(J16:J20)</f>
        <v>1.883333333360497</v>
      </c>
      <c r="K21" s="154">
        <f>SUM(K16:K20)</f>
        <v>1.883333333360497</v>
      </c>
      <c r="L21" s="155"/>
      <c r="M21" s="156"/>
      <c r="N21" s="156"/>
      <c r="O21" s="157"/>
      <c r="P21" s="95"/>
      <c r="Q21" s="35">
        <f t="shared" si="0"/>
      </c>
      <c r="R21" s="35">
        <f t="shared" si="1"/>
      </c>
      <c r="S21" s="35">
        <f t="shared" si="2"/>
      </c>
      <c r="T21" s="36">
        <f>SUM(Q21:S21)</f>
        <v>0</v>
      </c>
      <c r="U21" s="30"/>
      <c r="V21" s="30"/>
      <c r="W21" s="30"/>
    </row>
    <row r="22" spans="1:23" s="34" customFormat="1" ht="12.75">
      <c r="A22" s="96">
        <v>11</v>
      </c>
      <c r="B22" s="97">
        <v>40723.33472222222</v>
      </c>
      <c r="C22" s="158">
        <v>40727.364583333336</v>
      </c>
      <c r="D22" s="98">
        <f>(C22-B22)*24</f>
        <v>96.71666666673264</v>
      </c>
      <c r="E22" s="99" t="s">
        <v>80</v>
      </c>
      <c r="F22" s="100">
        <v>105789</v>
      </c>
      <c r="G22" s="101"/>
      <c r="H22" s="158">
        <v>40727.364583333336</v>
      </c>
      <c r="I22" s="102">
        <v>40727.39791666667</v>
      </c>
      <c r="J22" s="98">
        <f>(I22-H22)*24</f>
        <v>0.7999999999883585</v>
      </c>
      <c r="K22" s="161">
        <f>(I22-H22)*24</f>
        <v>0.7999999999883585</v>
      </c>
      <c r="L22" s="103" t="s">
        <v>24</v>
      </c>
      <c r="M22" s="104" t="s">
        <v>24</v>
      </c>
      <c r="N22" s="104" t="s">
        <v>24</v>
      </c>
      <c r="O22" s="105" t="s">
        <v>17</v>
      </c>
      <c r="P22" s="136"/>
      <c r="Q22" s="35">
        <f t="shared" si="0"/>
        <v>1</v>
      </c>
      <c r="R22" s="35">
        <f t="shared" si="1"/>
      </c>
      <c r="S22" s="35">
        <f t="shared" si="2"/>
      </c>
      <c r="T22" s="36">
        <f aca="true" t="shared" si="4" ref="T22:T31">SUM(Q22:S22)</f>
        <v>1</v>
      </c>
      <c r="U22" s="30"/>
      <c r="V22" s="30"/>
      <c r="W22" s="30"/>
    </row>
    <row r="23" spans="1:23" s="34" customFormat="1" ht="15">
      <c r="A23" s="106">
        <v>12</v>
      </c>
      <c r="B23" s="162">
        <v>40727.39791666667</v>
      </c>
      <c r="C23" s="107">
        <v>40728.333333333336</v>
      </c>
      <c r="D23" s="108">
        <f>(C23-B23)*24</f>
        <v>22.45000000001164</v>
      </c>
      <c r="E23" s="109" t="s">
        <v>21</v>
      </c>
      <c r="F23" s="110"/>
      <c r="G23" s="111"/>
      <c r="H23" s="159"/>
      <c r="I23" s="159"/>
      <c r="J23" s="108">
        <f>(I23-H23)*24</f>
        <v>0</v>
      </c>
      <c r="K23" s="108">
        <f>(I23-H23)*24</f>
        <v>0</v>
      </c>
      <c r="L23" s="112"/>
      <c r="M23" s="113"/>
      <c r="N23" s="113"/>
      <c r="O23" s="114" t="s">
        <v>22</v>
      </c>
      <c r="P23" s="137"/>
      <c r="Q23" s="35">
        <f t="shared" si="0"/>
      </c>
      <c r="R23" s="35">
        <f t="shared" si="1"/>
        <v>1</v>
      </c>
      <c r="S23" s="35">
        <f t="shared" si="2"/>
      </c>
      <c r="T23" s="36">
        <f t="shared" si="4"/>
        <v>1</v>
      </c>
      <c r="U23" s="30"/>
      <c r="V23" s="30"/>
      <c r="W23" s="30"/>
    </row>
    <row r="24" spans="1:23" s="34" customFormat="1" ht="12.75">
      <c r="A24" s="147"/>
      <c r="B24" s="148"/>
      <c r="C24" s="148"/>
      <c r="D24" s="149">
        <f>SUM(D22:D23)</f>
        <v>119.16666666674428</v>
      </c>
      <c r="E24" s="150"/>
      <c r="F24" s="151"/>
      <c r="G24" s="152"/>
      <c r="H24" s="153"/>
      <c r="I24" s="153"/>
      <c r="J24" s="154">
        <f>SUM(J22:J23)</f>
        <v>0.7999999999883585</v>
      </c>
      <c r="K24" s="154">
        <f>SUM(K22:K23)</f>
        <v>0.7999999999883585</v>
      </c>
      <c r="L24" s="155"/>
      <c r="M24" s="156"/>
      <c r="N24" s="156"/>
      <c r="O24" s="157"/>
      <c r="P24" s="95"/>
      <c r="Q24" s="35">
        <f t="shared" si="0"/>
      </c>
      <c r="R24" s="35">
        <f t="shared" si="1"/>
      </c>
      <c r="S24" s="35">
        <f t="shared" si="2"/>
      </c>
      <c r="T24" s="36">
        <f t="shared" si="4"/>
        <v>0</v>
      </c>
      <c r="U24" s="30"/>
      <c r="V24" s="30"/>
      <c r="W24" s="30"/>
    </row>
    <row r="25" spans="1:23" s="34" customFormat="1" ht="12.75">
      <c r="A25" s="96">
        <v>13</v>
      </c>
      <c r="B25" s="97">
        <v>40729.33472222222</v>
      </c>
      <c r="C25" s="158">
        <v>40729.589583333334</v>
      </c>
      <c r="D25" s="98">
        <f>(C25-B25)*24</f>
        <v>6.116666666697711</v>
      </c>
      <c r="E25" s="99" t="s">
        <v>86</v>
      </c>
      <c r="F25" s="100">
        <v>105791</v>
      </c>
      <c r="G25" s="101"/>
      <c r="H25" s="158">
        <v>40729.589583333334</v>
      </c>
      <c r="I25" s="102">
        <v>40729.71319444444</v>
      </c>
      <c r="J25" s="98">
        <f>(I25-H25)*24</f>
        <v>2.9666666665580124</v>
      </c>
      <c r="K25" s="161"/>
      <c r="L25" s="103"/>
      <c r="M25" s="104"/>
      <c r="N25" s="104"/>
      <c r="O25" s="105"/>
      <c r="P25" s="136"/>
      <c r="Q25" s="35">
        <f t="shared" si="0"/>
      </c>
      <c r="R25" s="35">
        <f t="shared" si="1"/>
      </c>
      <c r="S25" s="35">
        <f t="shared" si="2"/>
      </c>
      <c r="T25" s="36">
        <f t="shared" si="4"/>
        <v>0</v>
      </c>
      <c r="U25" s="30"/>
      <c r="V25" s="30"/>
      <c r="W25" s="30"/>
    </row>
    <row r="26" spans="1:23" s="34" customFormat="1" ht="12.75">
      <c r="A26" s="96"/>
      <c r="B26" s="166"/>
      <c r="C26" s="167"/>
      <c r="D26" s="98"/>
      <c r="E26" s="168"/>
      <c r="F26" s="100"/>
      <c r="G26" s="101"/>
      <c r="H26" s="169">
        <v>40729.589583333334</v>
      </c>
      <c r="I26" s="170">
        <v>40729.61041666667</v>
      </c>
      <c r="J26" s="171"/>
      <c r="K26" s="171">
        <f>(I26-H26)*24</f>
        <v>0.5000000000582077</v>
      </c>
      <c r="L26" s="172" t="s">
        <v>89</v>
      </c>
      <c r="M26" s="173" t="s">
        <v>89</v>
      </c>
      <c r="N26" s="173" t="s">
        <v>89</v>
      </c>
      <c r="O26" s="174" t="s">
        <v>17</v>
      </c>
      <c r="P26" s="175"/>
      <c r="Q26" s="35">
        <f t="shared" si="0"/>
        <v>1</v>
      </c>
      <c r="R26" s="35">
        <f t="shared" si="1"/>
      </c>
      <c r="S26" s="35">
        <f t="shared" si="2"/>
      </c>
      <c r="T26" s="36">
        <f t="shared" si="4"/>
        <v>1</v>
      </c>
      <c r="U26" s="30"/>
      <c r="V26" s="30"/>
      <c r="W26" s="30"/>
    </row>
    <row r="27" spans="1:23" s="34" customFormat="1" ht="12.75">
      <c r="A27" s="96"/>
      <c r="B27" s="166"/>
      <c r="C27" s="167"/>
      <c r="D27" s="98"/>
      <c r="E27" s="168"/>
      <c r="F27" s="100"/>
      <c r="G27" s="101"/>
      <c r="H27" s="176">
        <v>40729.61041666667</v>
      </c>
      <c r="I27" s="177">
        <v>40729.71319444444</v>
      </c>
      <c r="J27" s="178"/>
      <c r="K27" s="178">
        <f>(I27-H27)*24</f>
        <v>2.4666666664998047</v>
      </c>
      <c r="L27" s="179" t="s">
        <v>26</v>
      </c>
      <c r="M27" s="180" t="s">
        <v>26</v>
      </c>
      <c r="N27" s="180" t="s">
        <v>26</v>
      </c>
      <c r="O27" s="181" t="s">
        <v>69</v>
      </c>
      <c r="P27" s="182"/>
      <c r="Q27" s="35">
        <f t="shared" si="0"/>
      </c>
      <c r="R27" s="35">
        <f t="shared" si="1"/>
      </c>
      <c r="S27" s="35">
        <f t="shared" si="2"/>
        <v>1</v>
      </c>
      <c r="T27" s="36">
        <f t="shared" si="4"/>
        <v>1</v>
      </c>
      <c r="U27" s="30"/>
      <c r="V27" s="30"/>
      <c r="W27" s="30"/>
    </row>
    <row r="28" spans="1:23" s="34" customFormat="1" ht="12.75">
      <c r="A28" s="106">
        <v>14</v>
      </c>
      <c r="B28" s="162">
        <v>40729.71319444444</v>
      </c>
      <c r="C28" s="107">
        <v>40730.34722222222</v>
      </c>
      <c r="D28" s="108">
        <f>(C28-B28)*24</f>
        <v>15.216666666674428</v>
      </c>
      <c r="E28" s="109" t="s">
        <v>87</v>
      </c>
      <c r="F28" s="110">
        <v>105792</v>
      </c>
      <c r="G28" s="111"/>
      <c r="H28" s="107">
        <v>40730.34722222222</v>
      </c>
      <c r="I28" s="165">
        <v>40730.743055555555</v>
      </c>
      <c r="J28" s="108">
        <f>(I28-H28)*24</f>
        <v>9.500000000058208</v>
      </c>
      <c r="K28" s="108">
        <f>(I28-H28)*24</f>
        <v>9.500000000058208</v>
      </c>
      <c r="L28" s="112" t="s">
        <v>90</v>
      </c>
      <c r="M28" s="113" t="s">
        <v>90</v>
      </c>
      <c r="N28" s="113" t="s">
        <v>90</v>
      </c>
      <c r="O28" s="114" t="s">
        <v>17</v>
      </c>
      <c r="P28" s="137"/>
      <c r="Q28" s="35">
        <f t="shared" si="0"/>
        <v>1</v>
      </c>
      <c r="R28" s="35">
        <f t="shared" si="1"/>
      </c>
      <c r="S28" s="35">
        <f t="shared" si="2"/>
      </c>
      <c r="T28" s="36">
        <f t="shared" si="4"/>
        <v>1</v>
      </c>
      <c r="U28" s="30"/>
      <c r="V28" s="30"/>
      <c r="W28" s="30"/>
    </row>
    <row r="29" spans="1:23" s="34" customFormat="1" ht="12.75">
      <c r="A29" s="96">
        <v>15</v>
      </c>
      <c r="B29" s="97">
        <v>40730.743055555555</v>
      </c>
      <c r="C29" s="158">
        <v>40730.998611111114</v>
      </c>
      <c r="D29" s="98">
        <f>(C29-B29)*24</f>
        <v>6.133333333418705</v>
      </c>
      <c r="E29" s="99" t="s">
        <v>88</v>
      </c>
      <c r="F29" s="100">
        <v>105793</v>
      </c>
      <c r="G29" s="101"/>
      <c r="H29" s="158">
        <v>40730.998611111114</v>
      </c>
      <c r="I29" s="102">
        <v>40731.018055555556</v>
      </c>
      <c r="J29" s="98">
        <f>(I29-H29)*24</f>
        <v>0.46666666661622</v>
      </c>
      <c r="K29" s="161">
        <f>(I29-H29)*24</f>
        <v>0.46666666661622</v>
      </c>
      <c r="L29" s="103" t="s">
        <v>24</v>
      </c>
      <c r="M29" s="104" t="s">
        <v>24</v>
      </c>
      <c r="N29" s="104" t="s">
        <v>24</v>
      </c>
      <c r="O29" s="105" t="s">
        <v>17</v>
      </c>
      <c r="P29" s="136"/>
      <c r="Q29" s="35">
        <f t="shared" si="0"/>
        <v>1</v>
      </c>
      <c r="R29" s="35">
        <f t="shared" si="1"/>
      </c>
      <c r="S29" s="35">
        <f t="shared" si="2"/>
      </c>
      <c r="T29" s="36">
        <f t="shared" si="4"/>
        <v>1</v>
      </c>
      <c r="U29" s="30"/>
      <c r="V29" s="30"/>
      <c r="W29" s="30"/>
    </row>
    <row r="30" spans="1:23" s="34" customFormat="1" ht="15">
      <c r="A30" s="106">
        <v>16</v>
      </c>
      <c r="B30" s="162">
        <v>40731.018055555556</v>
      </c>
      <c r="C30" s="107">
        <v>40736.333333333336</v>
      </c>
      <c r="D30" s="108">
        <f>(C30-B30)*24</f>
        <v>127.56666666670935</v>
      </c>
      <c r="E30" s="109" t="s">
        <v>21</v>
      </c>
      <c r="F30" s="110"/>
      <c r="G30" s="111"/>
      <c r="H30" s="159"/>
      <c r="I30" s="159"/>
      <c r="J30" s="108">
        <f>(I30-H30)*24</f>
        <v>0</v>
      </c>
      <c r="K30" s="108">
        <f>(I30-H30)*24</f>
        <v>0</v>
      </c>
      <c r="L30" s="112"/>
      <c r="M30" s="113"/>
      <c r="N30" s="113"/>
      <c r="O30" s="114" t="s">
        <v>22</v>
      </c>
      <c r="P30" s="137"/>
      <c r="Q30" s="35">
        <f t="shared" si="0"/>
      </c>
      <c r="R30" s="35">
        <f t="shared" si="1"/>
        <v>1</v>
      </c>
      <c r="S30" s="35">
        <f t="shared" si="2"/>
      </c>
      <c r="T30" s="36">
        <f t="shared" si="4"/>
        <v>1</v>
      </c>
      <c r="U30" s="30"/>
      <c r="V30" s="30"/>
      <c r="W30" s="30"/>
    </row>
    <row r="31" spans="1:23" s="34" customFormat="1" ht="12.75">
      <c r="A31" s="147"/>
      <c r="B31" s="148"/>
      <c r="C31" s="148"/>
      <c r="D31" s="149">
        <f>SUM(D25:D30)</f>
        <v>155.0333333335002</v>
      </c>
      <c r="E31" s="150"/>
      <c r="F31" s="151"/>
      <c r="G31" s="152"/>
      <c r="H31" s="153"/>
      <c r="I31" s="153"/>
      <c r="J31" s="154">
        <f>SUM(J25:J30)</f>
        <v>12.93333333323244</v>
      </c>
      <c r="K31" s="154">
        <f>SUM(K25:K30)</f>
        <v>12.93333333323244</v>
      </c>
      <c r="L31" s="155"/>
      <c r="M31" s="156"/>
      <c r="N31" s="156"/>
      <c r="O31" s="157"/>
      <c r="P31" s="95"/>
      <c r="Q31" s="35">
        <f t="shared" si="0"/>
      </c>
      <c r="R31" s="35">
        <f t="shared" si="1"/>
      </c>
      <c r="S31" s="35">
        <f t="shared" si="2"/>
      </c>
      <c r="T31" s="36">
        <f t="shared" si="4"/>
        <v>0</v>
      </c>
      <c r="U31" s="30"/>
      <c r="V31" s="30"/>
      <c r="W31" s="30"/>
    </row>
    <row r="32" spans="1:23" s="34" customFormat="1" ht="12.75">
      <c r="A32" s="96">
        <v>17</v>
      </c>
      <c r="B32" s="97">
        <v>40737.333333333336</v>
      </c>
      <c r="C32" s="158">
        <v>40740.614583333336</v>
      </c>
      <c r="D32" s="98">
        <f>(C32-B32)*24</f>
        <v>78.75</v>
      </c>
      <c r="E32" s="99" t="s">
        <v>91</v>
      </c>
      <c r="F32" s="100">
        <v>105796</v>
      </c>
      <c r="G32" s="101"/>
      <c r="H32" s="158">
        <v>40740.614583333336</v>
      </c>
      <c r="I32" s="183">
        <v>40740.71527777778</v>
      </c>
      <c r="J32" s="98">
        <f>(I32-H32)*24</f>
        <v>2.416666666686069</v>
      </c>
      <c r="K32" s="161">
        <f>(I32-H32)*24</f>
        <v>2.416666666686069</v>
      </c>
      <c r="L32" s="103" t="s">
        <v>23</v>
      </c>
      <c r="M32" s="104" t="s">
        <v>23</v>
      </c>
      <c r="N32" s="104" t="s">
        <v>23</v>
      </c>
      <c r="O32" s="105" t="s">
        <v>17</v>
      </c>
      <c r="P32" s="136"/>
      <c r="Q32" s="35">
        <f t="shared" si="0"/>
        <v>1</v>
      </c>
      <c r="R32" s="35">
        <f t="shared" si="1"/>
      </c>
      <c r="S32" s="35">
        <f t="shared" si="2"/>
      </c>
      <c r="T32" s="36">
        <f aca="true" t="shared" si="5" ref="T32:T43">SUM(Q32:S32)</f>
        <v>1</v>
      </c>
      <c r="U32" s="30"/>
      <c r="V32" s="30"/>
      <c r="W32" s="30"/>
    </row>
    <row r="33" spans="1:23" s="34" customFormat="1" ht="15">
      <c r="A33" s="106">
        <v>18</v>
      </c>
      <c r="B33" s="162">
        <v>40740.71527777778</v>
      </c>
      <c r="C33" s="107">
        <v>40743.333333333336</v>
      </c>
      <c r="D33" s="108">
        <f>(C33-B33)*24</f>
        <v>62.83333333331393</v>
      </c>
      <c r="E33" s="109" t="s">
        <v>21</v>
      </c>
      <c r="F33" s="110"/>
      <c r="G33" s="111"/>
      <c r="H33" s="159"/>
      <c r="I33" s="159"/>
      <c r="J33" s="108">
        <f>(I33-H33)*24</f>
        <v>0</v>
      </c>
      <c r="K33" s="108">
        <f>(I33-H33)*24</f>
        <v>0</v>
      </c>
      <c r="L33" s="112"/>
      <c r="M33" s="113"/>
      <c r="N33" s="113"/>
      <c r="O33" s="114" t="s">
        <v>22</v>
      </c>
      <c r="P33" s="137"/>
      <c r="Q33" s="35">
        <f t="shared" si="0"/>
      </c>
      <c r="R33" s="35">
        <f t="shared" si="1"/>
        <v>1</v>
      </c>
      <c r="S33" s="35">
        <f t="shared" si="2"/>
      </c>
      <c r="T33" s="36">
        <f t="shared" si="5"/>
        <v>1</v>
      </c>
      <c r="U33" s="30"/>
      <c r="V33" s="30"/>
      <c r="W33" s="30"/>
    </row>
    <row r="34" spans="1:23" s="34" customFormat="1" ht="12.75">
      <c r="A34" s="147"/>
      <c r="B34" s="148"/>
      <c r="C34" s="148"/>
      <c r="D34" s="149">
        <f>SUM(D32:D33)</f>
        <v>141.58333333331393</v>
      </c>
      <c r="E34" s="150"/>
      <c r="F34" s="151"/>
      <c r="G34" s="152"/>
      <c r="H34" s="153"/>
      <c r="I34" s="153"/>
      <c r="J34" s="154">
        <f>SUM(J32:J33)</f>
        <v>2.416666666686069</v>
      </c>
      <c r="K34" s="154">
        <f>SUM(K32:K33)</f>
        <v>2.416666666686069</v>
      </c>
      <c r="L34" s="155"/>
      <c r="M34" s="156"/>
      <c r="N34" s="156"/>
      <c r="O34" s="157"/>
      <c r="P34" s="95"/>
      <c r="Q34" s="35">
        <f t="shared" si="0"/>
      </c>
      <c r="R34" s="35">
        <f t="shared" si="1"/>
      </c>
      <c r="S34" s="35">
        <f t="shared" si="2"/>
      </c>
      <c r="T34" s="36">
        <f t="shared" si="5"/>
        <v>0</v>
      </c>
      <c r="U34" s="30"/>
      <c r="V34" s="30"/>
      <c r="W34" s="30"/>
    </row>
    <row r="35" spans="1:23" s="34" customFormat="1" ht="12.75">
      <c r="A35" s="96">
        <v>19</v>
      </c>
      <c r="B35" s="97">
        <v>40744.333333333336</v>
      </c>
      <c r="C35" s="158">
        <v>40745.29027777778</v>
      </c>
      <c r="D35" s="98">
        <f>(C35-B35)*24</f>
        <v>22.96666666661622</v>
      </c>
      <c r="E35" s="99" t="s">
        <v>92</v>
      </c>
      <c r="F35" s="100">
        <v>105802</v>
      </c>
      <c r="G35" s="101"/>
      <c r="H35" s="158">
        <v>40745.29027777778</v>
      </c>
      <c r="I35" s="183">
        <v>40745.32361111111</v>
      </c>
      <c r="J35" s="98">
        <f>(I35-H35)*24</f>
        <v>0.7999999999883585</v>
      </c>
      <c r="K35" s="161">
        <f>(I35-H35)*24</f>
        <v>0.7999999999883585</v>
      </c>
      <c r="L35" s="103" t="s">
        <v>26</v>
      </c>
      <c r="M35" s="104" t="s">
        <v>26</v>
      </c>
      <c r="N35" s="104" t="s">
        <v>26</v>
      </c>
      <c r="O35" s="105" t="s">
        <v>17</v>
      </c>
      <c r="P35" s="136"/>
      <c r="Q35" s="35">
        <f t="shared" si="0"/>
        <v>1</v>
      </c>
      <c r="R35" s="35">
        <f t="shared" si="1"/>
      </c>
      <c r="S35" s="35">
        <f t="shared" si="2"/>
      </c>
      <c r="T35" s="36">
        <f t="shared" si="5"/>
        <v>1</v>
      </c>
      <c r="U35" s="30"/>
      <c r="V35" s="30"/>
      <c r="W35" s="30"/>
    </row>
    <row r="36" spans="1:23" s="34" customFormat="1" ht="15">
      <c r="A36" s="106">
        <v>20</v>
      </c>
      <c r="B36" s="162">
        <v>40745.32361111111</v>
      </c>
      <c r="C36" s="107">
        <v>40749.333333333336</v>
      </c>
      <c r="D36" s="108">
        <f>(C36-B36)*24</f>
        <v>96.23333333339542</v>
      </c>
      <c r="E36" s="109" t="s">
        <v>21</v>
      </c>
      <c r="F36" s="110"/>
      <c r="G36" s="111"/>
      <c r="H36" s="159"/>
      <c r="I36" s="159"/>
      <c r="J36" s="108">
        <f>(I36-H36)*24</f>
        <v>0</v>
      </c>
      <c r="K36" s="108">
        <f>(I36-H36)*24</f>
        <v>0</v>
      </c>
      <c r="L36" s="112"/>
      <c r="M36" s="113"/>
      <c r="N36" s="113"/>
      <c r="O36" s="114" t="s">
        <v>22</v>
      </c>
      <c r="P36" s="137"/>
      <c r="Q36" s="35">
        <f t="shared" si="0"/>
      </c>
      <c r="R36" s="35">
        <f t="shared" si="1"/>
        <v>1</v>
      </c>
      <c r="S36" s="35">
        <f t="shared" si="2"/>
      </c>
      <c r="T36" s="36">
        <f t="shared" si="5"/>
        <v>1</v>
      </c>
      <c r="U36" s="30"/>
      <c r="V36" s="30"/>
      <c r="W36" s="30"/>
    </row>
    <row r="37" spans="1:23" s="34" customFormat="1" ht="12.75">
      <c r="A37" s="147"/>
      <c r="B37" s="148"/>
      <c r="C37" s="148"/>
      <c r="D37" s="149">
        <f>SUM(D35:D36)</f>
        <v>119.20000000001164</v>
      </c>
      <c r="E37" s="150"/>
      <c r="F37" s="151"/>
      <c r="G37" s="152"/>
      <c r="H37" s="153"/>
      <c r="I37" s="153"/>
      <c r="J37" s="154">
        <f>SUM(J35:J36)</f>
        <v>0.7999999999883585</v>
      </c>
      <c r="K37" s="154">
        <f>SUM(K35:K36)</f>
        <v>0.7999999999883585</v>
      </c>
      <c r="L37" s="155"/>
      <c r="M37" s="156"/>
      <c r="N37" s="156"/>
      <c r="O37" s="157"/>
      <c r="P37" s="95"/>
      <c r="Q37" s="35">
        <f t="shared" si="0"/>
      </c>
      <c r="R37" s="35">
        <f t="shared" si="1"/>
      </c>
      <c r="S37" s="35">
        <f t="shared" si="2"/>
      </c>
      <c r="T37" s="36">
        <f t="shared" si="5"/>
        <v>0</v>
      </c>
      <c r="U37" s="30"/>
      <c r="V37" s="30"/>
      <c r="W37" s="30"/>
    </row>
    <row r="38" spans="1:23" s="34" customFormat="1" ht="12.75">
      <c r="A38" s="96">
        <v>21</v>
      </c>
      <c r="B38" s="97">
        <v>40751.333333333336</v>
      </c>
      <c r="C38" s="158">
        <v>40751.94652777778</v>
      </c>
      <c r="D38" s="98">
        <f aca="true" t="shared" si="6" ref="D38:D43">(C38-B38)*24</f>
        <v>14.71666666661622</v>
      </c>
      <c r="E38" s="99" t="s">
        <v>93</v>
      </c>
      <c r="F38" s="100">
        <v>105804</v>
      </c>
      <c r="G38" s="101"/>
      <c r="H38" s="158">
        <v>40751.94652777778</v>
      </c>
      <c r="I38" s="102">
        <v>40751.964583333334</v>
      </c>
      <c r="J38" s="98">
        <f aca="true" t="shared" si="7" ref="J38:J43">(I38-H38)*24</f>
        <v>0.4333333333488554</v>
      </c>
      <c r="K38" s="161">
        <f aca="true" t="shared" si="8" ref="K38:K43">(I38-H38)*24</f>
        <v>0.4333333333488554</v>
      </c>
      <c r="L38" s="103" t="s">
        <v>24</v>
      </c>
      <c r="M38" s="104" t="s">
        <v>24</v>
      </c>
      <c r="N38" s="104" t="s">
        <v>24</v>
      </c>
      <c r="O38" s="105" t="s">
        <v>17</v>
      </c>
      <c r="P38" s="136"/>
      <c r="Q38" s="35">
        <f t="shared" si="0"/>
        <v>1</v>
      </c>
      <c r="R38" s="35">
        <f t="shared" si="1"/>
      </c>
      <c r="S38" s="35">
        <f t="shared" si="2"/>
      </c>
      <c r="T38" s="36">
        <f t="shared" si="5"/>
        <v>1</v>
      </c>
      <c r="U38" s="30"/>
      <c r="V38" s="30"/>
      <c r="W38" s="30"/>
    </row>
    <row r="39" spans="1:23" s="34" customFormat="1" ht="12.75">
      <c r="A39" s="106">
        <v>22</v>
      </c>
      <c r="B39" s="162">
        <v>40751.964583333334</v>
      </c>
      <c r="C39" s="107">
        <v>40752.01388888889</v>
      </c>
      <c r="D39" s="108">
        <f t="shared" si="6"/>
        <v>1.1833333333488554</v>
      </c>
      <c r="E39" s="109" t="s">
        <v>94</v>
      </c>
      <c r="F39" s="110">
        <v>105805</v>
      </c>
      <c r="G39" s="111"/>
      <c r="H39" s="107">
        <v>40752.01388888889</v>
      </c>
      <c r="I39" s="165">
        <v>40752.025</v>
      </c>
      <c r="J39" s="108">
        <f t="shared" si="7"/>
        <v>0.26666666666278616</v>
      </c>
      <c r="K39" s="108">
        <f t="shared" si="8"/>
        <v>0.26666666666278616</v>
      </c>
      <c r="L39" s="112" t="s">
        <v>71</v>
      </c>
      <c r="M39" s="113" t="s">
        <v>71</v>
      </c>
      <c r="N39" s="113" t="s">
        <v>71</v>
      </c>
      <c r="O39" s="114" t="s">
        <v>17</v>
      </c>
      <c r="P39" s="137"/>
      <c r="Q39" s="35">
        <f t="shared" si="0"/>
        <v>1</v>
      </c>
      <c r="R39" s="35">
        <f t="shared" si="1"/>
      </c>
      <c r="S39" s="35">
        <f t="shared" si="2"/>
      </c>
      <c r="T39" s="36">
        <f t="shared" si="5"/>
        <v>1</v>
      </c>
      <c r="U39" s="30"/>
      <c r="V39" s="30"/>
      <c r="W39" s="30"/>
    </row>
    <row r="40" spans="1:23" s="34" customFormat="1" ht="12.75">
      <c r="A40" s="96">
        <v>23</v>
      </c>
      <c r="B40" s="97">
        <v>40752.025</v>
      </c>
      <c r="C40" s="158">
        <v>40753.82638888889</v>
      </c>
      <c r="D40" s="98">
        <f t="shared" si="6"/>
        <v>43.233333333337214</v>
      </c>
      <c r="E40" s="99" t="s">
        <v>95</v>
      </c>
      <c r="F40" s="100">
        <v>105807</v>
      </c>
      <c r="G40" s="101"/>
      <c r="H40" s="158">
        <v>40753.82638888889</v>
      </c>
      <c r="I40" s="102">
        <v>40753.84652777778</v>
      </c>
      <c r="J40" s="98">
        <f t="shared" si="7"/>
        <v>0.48333333333721384</v>
      </c>
      <c r="K40" s="161">
        <f t="shared" si="8"/>
        <v>0.48333333333721384</v>
      </c>
      <c r="L40" s="103" t="s">
        <v>24</v>
      </c>
      <c r="M40" s="104" t="s">
        <v>24</v>
      </c>
      <c r="N40" s="104" t="s">
        <v>24</v>
      </c>
      <c r="O40" s="105" t="s">
        <v>17</v>
      </c>
      <c r="P40" s="136"/>
      <c r="Q40" s="35">
        <f t="shared" si="0"/>
        <v>1</v>
      </c>
      <c r="R40" s="35">
        <f t="shared" si="1"/>
      </c>
      <c r="S40" s="35">
        <f t="shared" si="2"/>
      </c>
      <c r="T40" s="36">
        <f t="shared" si="5"/>
        <v>1</v>
      </c>
      <c r="U40" s="30"/>
      <c r="V40" s="30"/>
      <c r="W40" s="30"/>
    </row>
    <row r="41" spans="1:23" s="34" customFormat="1" ht="12.75">
      <c r="A41" s="184">
        <v>24</v>
      </c>
      <c r="B41" s="162">
        <v>40753.84652777778</v>
      </c>
      <c r="C41" s="185">
        <v>40756.825694444444</v>
      </c>
      <c r="D41" s="186">
        <f t="shared" si="6"/>
        <v>71.49999999994179</v>
      </c>
      <c r="E41" s="187" t="s">
        <v>95</v>
      </c>
      <c r="F41" s="188">
        <v>105808</v>
      </c>
      <c r="G41" s="189"/>
      <c r="H41" s="185">
        <v>40756.825694444444</v>
      </c>
      <c r="I41" s="190">
        <v>40756.842361111114</v>
      </c>
      <c r="J41" s="186">
        <f t="shared" si="7"/>
        <v>0.4000000000814907</v>
      </c>
      <c r="K41" s="186">
        <f t="shared" si="8"/>
        <v>0.4000000000814907</v>
      </c>
      <c r="L41" s="191" t="s">
        <v>24</v>
      </c>
      <c r="M41" s="192" t="s">
        <v>24</v>
      </c>
      <c r="N41" s="192" t="s">
        <v>24</v>
      </c>
      <c r="O41" s="193" t="s">
        <v>17</v>
      </c>
      <c r="P41" s="194"/>
      <c r="Q41" s="35">
        <f t="shared" si="0"/>
        <v>1</v>
      </c>
      <c r="R41" s="35">
        <f t="shared" si="1"/>
      </c>
      <c r="S41" s="35">
        <f t="shared" si="2"/>
      </c>
      <c r="T41" s="36">
        <f>SUM(Q41:S41)</f>
        <v>1</v>
      </c>
      <c r="U41" s="30"/>
      <c r="V41" s="30"/>
      <c r="W41" s="30"/>
    </row>
    <row r="42" spans="1:23" s="34" customFormat="1" ht="12.75">
      <c r="A42" s="96">
        <v>25</v>
      </c>
      <c r="B42" s="97">
        <v>40756.842361111114</v>
      </c>
      <c r="C42" s="158">
        <v>40756.955555555556</v>
      </c>
      <c r="D42" s="98">
        <f t="shared" si="6"/>
        <v>2.71666666661622</v>
      </c>
      <c r="E42" s="99" t="s">
        <v>96</v>
      </c>
      <c r="F42" s="100">
        <v>105809</v>
      </c>
      <c r="G42" s="101"/>
      <c r="H42" s="158">
        <v>40756.955555555556</v>
      </c>
      <c r="I42" s="102">
        <v>40757.013194444444</v>
      </c>
      <c r="J42" s="98">
        <f t="shared" si="7"/>
        <v>1.3833333333022892</v>
      </c>
      <c r="K42" s="161">
        <f t="shared" si="8"/>
        <v>1.3833333333022892</v>
      </c>
      <c r="L42" s="103" t="s">
        <v>70</v>
      </c>
      <c r="M42" s="104" t="s">
        <v>70</v>
      </c>
      <c r="N42" s="104" t="s">
        <v>70</v>
      </c>
      <c r="O42" s="105" t="s">
        <v>17</v>
      </c>
      <c r="P42" s="136"/>
      <c r="Q42" s="35">
        <f t="shared" si="0"/>
        <v>1</v>
      </c>
      <c r="R42" s="35">
        <f t="shared" si="1"/>
      </c>
      <c r="S42" s="35">
        <f t="shared" si="2"/>
      </c>
      <c r="T42" s="36">
        <f>SUM(Q42:S42)</f>
        <v>1</v>
      </c>
      <c r="U42" s="30"/>
      <c r="V42" s="30"/>
      <c r="W42" s="30"/>
    </row>
    <row r="43" spans="1:23" s="34" customFormat="1" ht="15">
      <c r="A43" s="184">
        <v>26</v>
      </c>
      <c r="B43" s="162">
        <v>40757.013194444444</v>
      </c>
      <c r="C43" s="185">
        <v>40757.333333333336</v>
      </c>
      <c r="D43" s="186">
        <f t="shared" si="6"/>
        <v>7.683333333407063</v>
      </c>
      <c r="E43" s="187" t="s">
        <v>21</v>
      </c>
      <c r="F43" s="188"/>
      <c r="G43" s="189"/>
      <c r="H43" s="195"/>
      <c r="I43" s="195"/>
      <c r="J43" s="186">
        <f t="shared" si="7"/>
        <v>0</v>
      </c>
      <c r="K43" s="186">
        <f t="shared" si="8"/>
        <v>0</v>
      </c>
      <c r="L43" s="191"/>
      <c r="M43" s="192"/>
      <c r="N43" s="192"/>
      <c r="O43" s="193" t="s">
        <v>22</v>
      </c>
      <c r="P43" s="194"/>
      <c r="Q43" s="35">
        <f t="shared" si="0"/>
      </c>
      <c r="R43" s="35">
        <f t="shared" si="1"/>
        <v>1</v>
      </c>
      <c r="S43" s="35">
        <f t="shared" si="2"/>
      </c>
      <c r="T43" s="36">
        <f t="shared" si="5"/>
        <v>1</v>
      </c>
      <c r="U43" s="30"/>
      <c r="V43" s="30"/>
      <c r="W43" s="30"/>
    </row>
    <row r="44" spans="1:23" s="34" customFormat="1" ht="12.75">
      <c r="A44" s="147"/>
      <c r="B44" s="148"/>
      <c r="C44" s="148"/>
      <c r="D44" s="149">
        <f>SUM(D38:D43)</f>
        <v>141.03333333326736</v>
      </c>
      <c r="E44" s="150"/>
      <c r="F44" s="151"/>
      <c r="G44" s="152"/>
      <c r="H44" s="153"/>
      <c r="I44" s="153"/>
      <c r="J44" s="154">
        <f>SUM(J38:J43)</f>
        <v>2.9666666667326353</v>
      </c>
      <c r="K44" s="154">
        <f>SUM(K38:K43)</f>
        <v>2.9666666667326353</v>
      </c>
      <c r="L44" s="155"/>
      <c r="M44" s="156"/>
      <c r="N44" s="156"/>
      <c r="O44" s="157"/>
      <c r="P44" s="95"/>
      <c r="Q44" s="35">
        <f t="shared" si="0"/>
      </c>
      <c r="R44" s="35">
        <f t="shared" si="1"/>
      </c>
      <c r="S44" s="35">
        <f t="shared" si="2"/>
      </c>
      <c r="T44" s="36">
        <f>SUM(Q44:S44)</f>
        <v>0</v>
      </c>
      <c r="U44" s="30"/>
      <c r="V44" s="30"/>
      <c r="W44" s="30"/>
    </row>
    <row r="45" spans="1:23" s="34" customFormat="1" ht="12.75">
      <c r="A45" s="96">
        <v>27</v>
      </c>
      <c r="B45" s="97">
        <v>40758.333333333336</v>
      </c>
      <c r="C45" s="158">
        <v>40759.63680555556</v>
      </c>
      <c r="D45" s="98">
        <f>(C45-B45)*24</f>
        <v>31.283333333325572</v>
      </c>
      <c r="E45" s="99" t="s">
        <v>104</v>
      </c>
      <c r="F45" s="100">
        <v>105811</v>
      </c>
      <c r="G45" s="101"/>
      <c r="H45" s="158">
        <v>40759.63680555556</v>
      </c>
      <c r="I45" s="183">
        <v>40759.69097222222</v>
      </c>
      <c r="J45" s="98">
        <f>(I45-H45)*24</f>
        <v>1.2999999998719431</v>
      </c>
      <c r="K45" s="161">
        <f>(I45-H45)*24</f>
        <v>1.2999999998719431</v>
      </c>
      <c r="L45" s="103" t="s">
        <v>70</v>
      </c>
      <c r="M45" s="104" t="s">
        <v>70</v>
      </c>
      <c r="N45" s="104" t="s">
        <v>70</v>
      </c>
      <c r="O45" s="105" t="s">
        <v>17</v>
      </c>
      <c r="P45" s="136"/>
      <c r="Q45" s="35">
        <f t="shared" si="0"/>
        <v>1</v>
      </c>
      <c r="R45" s="35">
        <f t="shared" si="1"/>
      </c>
      <c r="S45" s="35">
        <f t="shared" si="2"/>
      </c>
      <c r="T45" s="36">
        <f>SUM(Q45:S45)</f>
        <v>1</v>
      </c>
      <c r="U45" s="30"/>
      <c r="V45" s="30"/>
      <c r="W45" s="30"/>
    </row>
    <row r="46" spans="1:23" s="34" customFormat="1" ht="15">
      <c r="A46" s="106">
        <v>28</v>
      </c>
      <c r="B46" s="162">
        <v>40759.69097222222</v>
      </c>
      <c r="C46" s="107">
        <v>40764.333333333336</v>
      </c>
      <c r="D46" s="108">
        <f>(C46-B46)*24</f>
        <v>111.41666666680248</v>
      </c>
      <c r="E46" s="109" t="s">
        <v>21</v>
      </c>
      <c r="F46" s="110"/>
      <c r="G46" s="111"/>
      <c r="H46" s="159"/>
      <c r="I46" s="159"/>
      <c r="J46" s="108">
        <f>(I46-H46)*24</f>
        <v>0</v>
      </c>
      <c r="K46" s="108">
        <f>(I46-H46)*24</f>
        <v>0</v>
      </c>
      <c r="L46" s="112"/>
      <c r="M46" s="113"/>
      <c r="N46" s="113"/>
      <c r="O46" s="114" t="s">
        <v>22</v>
      </c>
      <c r="P46" s="137"/>
      <c r="Q46" s="35">
        <f t="shared" si="0"/>
      </c>
      <c r="R46" s="35">
        <f t="shared" si="1"/>
        <v>1</v>
      </c>
      <c r="S46" s="35">
        <f t="shared" si="2"/>
      </c>
      <c r="T46" s="36">
        <f>SUM(Q46:S46)</f>
        <v>1</v>
      </c>
      <c r="U46" s="30"/>
      <c r="V46" s="30"/>
      <c r="W46" s="30"/>
    </row>
    <row r="47" spans="1:23" s="34" customFormat="1" ht="12.75">
      <c r="A47" s="147"/>
      <c r="B47" s="148"/>
      <c r="C47" s="148"/>
      <c r="D47" s="149">
        <f>SUM(D45:D46)</f>
        <v>142.70000000012806</v>
      </c>
      <c r="E47" s="150"/>
      <c r="F47" s="151"/>
      <c r="G47" s="152"/>
      <c r="H47" s="153"/>
      <c r="I47" s="153"/>
      <c r="J47" s="154">
        <f>SUM(J45:J46)</f>
        <v>1.2999999998719431</v>
      </c>
      <c r="K47" s="154">
        <f>SUM(K45:K46)</f>
        <v>1.2999999998719431</v>
      </c>
      <c r="L47" s="155"/>
      <c r="M47" s="156"/>
      <c r="N47" s="156"/>
      <c r="O47" s="157"/>
      <c r="P47" s="95"/>
      <c r="Q47" s="35">
        <f t="shared" si="0"/>
      </c>
      <c r="R47" s="35">
        <f t="shared" si="1"/>
      </c>
      <c r="S47" s="35">
        <f t="shared" si="2"/>
      </c>
      <c r="T47" s="36">
        <f>SUM(Q47:S47)</f>
        <v>0</v>
      </c>
      <c r="U47" s="30"/>
      <c r="V47" s="30"/>
      <c r="W47" s="30"/>
    </row>
    <row r="48" spans="1:23" s="34" customFormat="1" ht="12.75">
      <c r="A48" s="106"/>
      <c r="B48" s="162"/>
      <c r="C48" s="107"/>
      <c r="D48" s="108">
        <f>(C48-B48)*24</f>
        <v>0</v>
      </c>
      <c r="E48" s="109"/>
      <c r="F48" s="110">
        <v>105813</v>
      </c>
      <c r="G48" s="111"/>
      <c r="H48" s="107">
        <v>40765.333333333336</v>
      </c>
      <c r="I48" s="165">
        <v>40765.39097222222</v>
      </c>
      <c r="J48" s="108">
        <f>(I48-H48)*24</f>
        <v>1.3833333333022892</v>
      </c>
      <c r="K48" s="108">
        <f>(I48-H48)*24</f>
        <v>1.3833333333022892</v>
      </c>
      <c r="L48" s="112" t="s">
        <v>90</v>
      </c>
      <c r="M48" s="113" t="s">
        <v>90</v>
      </c>
      <c r="N48" s="113" t="s">
        <v>90</v>
      </c>
      <c r="O48" s="114" t="s">
        <v>69</v>
      </c>
      <c r="P48" s="137" t="s">
        <v>100</v>
      </c>
      <c r="Q48" s="35">
        <f t="shared" si="0"/>
      </c>
      <c r="R48" s="35">
        <f t="shared" si="1"/>
      </c>
      <c r="S48" s="35">
        <f t="shared" si="2"/>
        <v>1</v>
      </c>
      <c r="T48" s="36">
        <f>SUM(Q48:S48)</f>
        <v>1</v>
      </c>
      <c r="U48" s="30"/>
      <c r="V48" s="30"/>
      <c r="W48" s="30"/>
    </row>
    <row r="49" spans="1:23" s="34" customFormat="1" ht="12.75">
      <c r="A49" s="96">
        <v>30</v>
      </c>
      <c r="B49" s="97">
        <v>40765.39097222222</v>
      </c>
      <c r="C49" s="158">
        <v>40767.353472222225</v>
      </c>
      <c r="D49" s="98">
        <f>(C49-B49)*24</f>
        <v>47.100000000034925</v>
      </c>
      <c r="E49" s="99" t="s">
        <v>97</v>
      </c>
      <c r="F49" s="100">
        <v>105814</v>
      </c>
      <c r="G49" s="101"/>
      <c r="H49" s="158">
        <v>40767.353472222225</v>
      </c>
      <c r="I49" s="102">
        <v>40767.39444444444</v>
      </c>
      <c r="J49" s="98">
        <f>(I49-H49)*24</f>
        <v>0.9833333332207985</v>
      </c>
      <c r="K49" s="161">
        <f>(I49-H49)*24</f>
        <v>0.9833333332207985</v>
      </c>
      <c r="L49" s="103" t="s">
        <v>23</v>
      </c>
      <c r="M49" s="104" t="s">
        <v>23</v>
      </c>
      <c r="N49" s="104" t="s">
        <v>23</v>
      </c>
      <c r="O49" s="105" t="s">
        <v>17</v>
      </c>
      <c r="P49" s="136"/>
      <c r="Q49" s="35">
        <f t="shared" si="0"/>
        <v>1</v>
      </c>
      <c r="R49" s="35">
        <f t="shared" si="1"/>
      </c>
      <c r="S49" s="35">
        <f t="shared" si="2"/>
      </c>
      <c r="T49" s="36">
        <f>SUM(Q49:S49)</f>
        <v>1</v>
      </c>
      <c r="U49" s="30"/>
      <c r="V49" s="30"/>
      <c r="W49" s="30"/>
    </row>
    <row r="50" spans="1:23" s="34" customFormat="1" ht="12.75">
      <c r="A50" s="106">
        <v>31</v>
      </c>
      <c r="B50" s="162">
        <v>40767.39444444444</v>
      </c>
      <c r="C50" s="107">
        <v>40768.478472222225</v>
      </c>
      <c r="D50" s="108">
        <f>(C50-B50)*24</f>
        <v>26.0166666667792</v>
      </c>
      <c r="E50" s="109" t="s">
        <v>98</v>
      </c>
      <c r="F50" s="110">
        <v>105815</v>
      </c>
      <c r="G50" s="111"/>
      <c r="H50" s="107">
        <v>40768.478472222225</v>
      </c>
      <c r="I50" s="165">
        <v>40768.49444444444</v>
      </c>
      <c r="J50" s="108">
        <f>(I50-H50)*24</f>
        <v>0.3833333331858739</v>
      </c>
      <c r="K50" s="108">
        <f>(I50-H50)*24</f>
        <v>0.3833333331858739</v>
      </c>
      <c r="L50" s="112" t="s">
        <v>24</v>
      </c>
      <c r="M50" s="113" t="s">
        <v>24</v>
      </c>
      <c r="N50" s="113" t="s">
        <v>24</v>
      </c>
      <c r="O50" s="114" t="s">
        <v>17</v>
      </c>
      <c r="P50" s="137"/>
      <c r="Q50" s="35">
        <f t="shared" si="0"/>
        <v>1</v>
      </c>
      <c r="R50" s="35">
        <f t="shared" si="1"/>
      </c>
      <c r="S50" s="35">
        <f t="shared" si="2"/>
      </c>
      <c r="T50" s="36">
        <f>SUM(Q50:S50)</f>
        <v>1</v>
      </c>
      <c r="U50" s="30"/>
      <c r="V50" s="30"/>
      <c r="W50" s="30"/>
    </row>
    <row r="51" spans="1:23" s="34" customFormat="1" ht="12.75">
      <c r="A51" s="96">
        <v>32</v>
      </c>
      <c r="B51" s="97">
        <v>40768.49444444444</v>
      </c>
      <c r="C51" s="158">
        <v>40768.71666666667</v>
      </c>
      <c r="D51" s="98">
        <f>(C51-B51)*24</f>
        <v>5.333333333430346</v>
      </c>
      <c r="E51" s="99" t="s">
        <v>99</v>
      </c>
      <c r="F51" s="100">
        <v>105816</v>
      </c>
      <c r="G51" s="101"/>
      <c r="H51" s="158">
        <v>40768.71666666667</v>
      </c>
      <c r="I51" s="102">
        <v>40768.73472222222</v>
      </c>
      <c r="J51" s="98">
        <f>(I51-H51)*24</f>
        <v>0.4333333333488554</v>
      </c>
      <c r="K51" s="161">
        <f>(I51-H51)*24</f>
        <v>0.4333333333488554</v>
      </c>
      <c r="L51" s="103" t="s">
        <v>90</v>
      </c>
      <c r="M51" s="104" t="s">
        <v>90</v>
      </c>
      <c r="N51" s="104" t="s">
        <v>90</v>
      </c>
      <c r="O51" s="105" t="s">
        <v>17</v>
      </c>
      <c r="P51" s="136" t="s">
        <v>101</v>
      </c>
      <c r="Q51" s="35">
        <f t="shared" si="0"/>
        <v>1</v>
      </c>
      <c r="R51" s="35">
        <f t="shared" si="1"/>
      </c>
      <c r="S51" s="35">
        <f t="shared" si="2"/>
      </c>
      <c r="T51" s="36">
        <f>SUM(Q51:S51)</f>
        <v>1</v>
      </c>
      <c r="U51" s="30"/>
      <c r="V51" s="30"/>
      <c r="W51" s="30"/>
    </row>
    <row r="52" spans="1:23" s="34" customFormat="1" ht="15">
      <c r="A52" s="106">
        <v>33</v>
      </c>
      <c r="B52" s="162">
        <v>40768.73472222222</v>
      </c>
      <c r="C52" s="107">
        <v>40771.333333333336</v>
      </c>
      <c r="D52" s="108">
        <f>(C52-B52)*24</f>
        <v>62.36666666669771</v>
      </c>
      <c r="E52" s="109" t="s">
        <v>21</v>
      </c>
      <c r="F52" s="110"/>
      <c r="G52" s="111"/>
      <c r="H52" s="159"/>
      <c r="I52" s="159"/>
      <c r="J52" s="108">
        <f>(I52-H52)*24</f>
        <v>0</v>
      </c>
      <c r="K52" s="108">
        <f>(I52-H52)*24</f>
        <v>0</v>
      </c>
      <c r="L52" s="112"/>
      <c r="M52" s="113"/>
      <c r="N52" s="113"/>
      <c r="O52" s="114" t="s">
        <v>22</v>
      </c>
      <c r="P52" s="137"/>
      <c r="Q52" s="35">
        <f t="shared" si="0"/>
      </c>
      <c r="R52" s="35">
        <f t="shared" si="1"/>
        <v>1</v>
      </c>
      <c r="S52" s="35">
        <f t="shared" si="2"/>
      </c>
      <c r="T52" s="36">
        <f>SUM(Q52:S52)</f>
        <v>1</v>
      </c>
      <c r="U52" s="30"/>
      <c r="V52" s="30"/>
      <c r="W52" s="30"/>
    </row>
    <row r="53" spans="1:23" s="34" customFormat="1" ht="12.75">
      <c r="A53" s="147"/>
      <c r="B53" s="148"/>
      <c r="C53" s="148"/>
      <c r="D53" s="149">
        <f>SUM(D48:D52)</f>
        <v>140.81666666694218</v>
      </c>
      <c r="E53" s="150"/>
      <c r="F53" s="151"/>
      <c r="G53" s="152"/>
      <c r="H53" s="153"/>
      <c r="I53" s="153"/>
      <c r="J53" s="154">
        <f>SUM(J48:J52)</f>
        <v>3.183333333057817</v>
      </c>
      <c r="K53" s="154">
        <f>SUM(K48:K52)</f>
        <v>3.183333333057817</v>
      </c>
      <c r="L53" s="155"/>
      <c r="M53" s="156"/>
      <c r="N53" s="156"/>
      <c r="O53" s="157"/>
      <c r="P53" s="95"/>
      <c r="Q53" s="35">
        <f t="shared" si="0"/>
      </c>
      <c r="R53" s="35">
        <f t="shared" si="1"/>
      </c>
      <c r="S53" s="35">
        <f t="shared" si="2"/>
      </c>
      <c r="T53" s="36">
        <f>SUM(Q53:S53)</f>
        <v>0</v>
      </c>
      <c r="U53" s="30"/>
      <c r="V53" s="30"/>
      <c r="W53" s="30"/>
    </row>
    <row r="54" spans="1:23" s="34" customFormat="1" ht="12.75">
      <c r="A54" s="106">
        <v>34</v>
      </c>
      <c r="B54" s="162">
        <v>40772.333333333336</v>
      </c>
      <c r="C54" s="107">
        <v>40778.322222222225</v>
      </c>
      <c r="D54" s="108">
        <f>(C54-B54)*24</f>
        <v>143.7333333333372</v>
      </c>
      <c r="E54" s="109" t="s">
        <v>105</v>
      </c>
      <c r="F54" s="110">
        <v>105817</v>
      </c>
      <c r="G54" s="111"/>
      <c r="H54" s="107">
        <v>40778.322222222225</v>
      </c>
      <c r="I54" s="165">
        <v>40778.34583333333</v>
      </c>
      <c r="J54" s="108">
        <f>(I54-H54)*24</f>
        <v>0.566666666592937</v>
      </c>
      <c r="K54" s="108">
        <f>(I54-H54)*24</f>
        <v>0.566666666592937</v>
      </c>
      <c r="L54" s="112" t="s">
        <v>25</v>
      </c>
      <c r="M54" s="113" t="s">
        <v>25</v>
      </c>
      <c r="N54" s="113" t="s">
        <v>25</v>
      </c>
      <c r="O54" s="114" t="s">
        <v>17</v>
      </c>
      <c r="P54" s="137"/>
      <c r="Q54" s="35">
        <f t="shared" si="0"/>
        <v>1</v>
      </c>
      <c r="R54" s="35">
        <f t="shared" si="1"/>
      </c>
      <c r="S54" s="35">
        <f t="shared" si="2"/>
      </c>
      <c r="T54" s="36">
        <f>SUM(Q54:S54)</f>
        <v>1</v>
      </c>
      <c r="U54" s="30"/>
      <c r="V54" s="30"/>
      <c r="W54" s="30"/>
    </row>
    <row r="55" spans="1:23" s="34" customFormat="1" ht="12.75">
      <c r="A55" s="96">
        <v>35</v>
      </c>
      <c r="B55" s="97">
        <v>40778.34583333333</v>
      </c>
      <c r="C55" s="158">
        <v>40778.830555555556</v>
      </c>
      <c r="D55" s="98">
        <f>(C55-B55)*24</f>
        <v>11.633333333360497</v>
      </c>
      <c r="E55" s="99" t="s">
        <v>102</v>
      </c>
      <c r="F55" s="100">
        <v>105818</v>
      </c>
      <c r="G55" s="101"/>
      <c r="H55" s="158">
        <v>40778.830555555556</v>
      </c>
      <c r="I55" s="102">
        <v>40778.85277777778</v>
      </c>
      <c r="J55" s="98">
        <f>(I55-H55)*24</f>
        <v>0.5333333333255723</v>
      </c>
      <c r="K55" s="161">
        <f>(I55-H55)*24</f>
        <v>0.5333333333255723</v>
      </c>
      <c r="L55" s="103" t="s">
        <v>89</v>
      </c>
      <c r="M55" s="104" t="s">
        <v>89</v>
      </c>
      <c r="N55" s="104" t="s">
        <v>89</v>
      </c>
      <c r="O55" s="105" t="s">
        <v>103</v>
      </c>
      <c r="P55" s="136"/>
      <c r="Q55" s="35">
        <f>IF($O55="Beam Dump",1,"")</f>
        <v>1</v>
      </c>
      <c r="R55" s="35">
        <f t="shared" si="1"/>
      </c>
      <c r="S55" s="35">
        <f t="shared" si="2"/>
      </c>
      <c r="T55" s="36">
        <f>SUM(Q55:S55)</f>
        <v>1</v>
      </c>
      <c r="U55" s="30"/>
      <c r="V55" s="30"/>
      <c r="W55" s="30"/>
    </row>
    <row r="56" spans="1:23" s="34" customFormat="1" ht="15">
      <c r="A56" s="106">
        <v>36</v>
      </c>
      <c r="B56" s="162">
        <v>40778.85277777778</v>
      </c>
      <c r="C56" s="107">
        <v>40780.333333333336</v>
      </c>
      <c r="D56" s="108">
        <f>(C56-B56)*24</f>
        <v>35.53333333338378</v>
      </c>
      <c r="E56" s="109" t="s">
        <v>21</v>
      </c>
      <c r="F56" s="110"/>
      <c r="G56" s="111"/>
      <c r="H56" s="159"/>
      <c r="I56" s="159"/>
      <c r="J56" s="108">
        <f>(I56-H56)*24</f>
        <v>0</v>
      </c>
      <c r="K56" s="108">
        <f>(I56-H56)*24</f>
        <v>0</v>
      </c>
      <c r="L56" s="112"/>
      <c r="M56" s="113"/>
      <c r="N56" s="113"/>
      <c r="O56" s="114" t="s">
        <v>22</v>
      </c>
      <c r="P56" s="137"/>
      <c r="Q56" s="35">
        <f t="shared" si="0"/>
      </c>
      <c r="R56" s="35">
        <f t="shared" si="1"/>
        <v>1</v>
      </c>
      <c r="S56" s="35">
        <f t="shared" si="2"/>
      </c>
      <c r="T56" s="36">
        <f>SUM(Q56:S56)</f>
        <v>1</v>
      </c>
      <c r="U56" s="30"/>
      <c r="V56" s="30"/>
      <c r="W56" s="30"/>
    </row>
    <row r="57" spans="1:23" s="34" customFormat="1" ht="12.75">
      <c r="A57" s="147"/>
      <c r="B57" s="148"/>
      <c r="C57" s="148"/>
      <c r="D57" s="149">
        <f>SUM(D54:D56)</f>
        <v>190.9000000000815</v>
      </c>
      <c r="E57" s="150"/>
      <c r="F57" s="151"/>
      <c r="G57" s="152"/>
      <c r="H57" s="153"/>
      <c r="I57" s="153"/>
      <c r="J57" s="154">
        <f>SUM(J54:J56)</f>
        <v>1.0999999999185093</v>
      </c>
      <c r="K57" s="154">
        <f>SUM(K54:K56)</f>
        <v>1.0999999999185093</v>
      </c>
      <c r="L57" s="155"/>
      <c r="M57" s="156"/>
      <c r="N57" s="156"/>
      <c r="O57" s="157"/>
      <c r="P57" s="95"/>
      <c r="Q57" s="35">
        <f t="shared" si="0"/>
      </c>
      <c r="R57" s="35">
        <f t="shared" si="1"/>
      </c>
      <c r="S57" s="35">
        <f t="shared" si="2"/>
      </c>
      <c r="T57" s="36">
        <f>SUM(Q57:S57)</f>
        <v>0</v>
      </c>
      <c r="U57" s="30"/>
      <c r="V57" s="30"/>
      <c r="W57" s="30"/>
    </row>
    <row r="58" spans="1:20" ht="12.75">
      <c r="A58" s="86"/>
      <c r="B58" s="87"/>
      <c r="C58" s="87"/>
      <c r="D58" s="49"/>
      <c r="E58" s="88"/>
      <c r="F58" s="89"/>
      <c r="G58" s="90"/>
      <c r="H58" s="87"/>
      <c r="I58" s="87"/>
      <c r="J58" s="91"/>
      <c r="K58" s="91"/>
      <c r="L58" s="92"/>
      <c r="M58" s="93"/>
      <c r="N58" s="93"/>
      <c r="O58" s="94"/>
      <c r="P58" s="88"/>
      <c r="Q58" s="30"/>
      <c r="R58" s="30"/>
      <c r="S58" s="30"/>
      <c r="T58" s="30"/>
    </row>
    <row r="59" spans="1:18" ht="12.75">
      <c r="A59" s="28"/>
      <c r="B59" s="14"/>
      <c r="C59" s="37" t="s">
        <v>27</v>
      </c>
      <c r="D59" s="38">
        <f>Q61</f>
        <v>23</v>
      </c>
      <c r="E59" s="16"/>
      <c r="F59" s="29"/>
      <c r="G59" s="18"/>
      <c r="H59" s="19"/>
      <c r="I59" s="19"/>
      <c r="J59" s="39" t="s">
        <v>28</v>
      </c>
      <c r="K59" s="40"/>
      <c r="L59" s="21"/>
      <c r="M59" s="22"/>
      <c r="N59" s="22"/>
      <c r="O59" s="41"/>
      <c r="P59" s="23"/>
      <c r="R59" s="12">
        <f>IF($L59="Scheduled",1,"")</f>
      </c>
    </row>
    <row r="60" spans="1:18" ht="12.75">
      <c r="A60" s="28"/>
      <c r="B60" s="14"/>
      <c r="C60" s="37" t="s">
        <v>29</v>
      </c>
      <c r="D60" s="38">
        <f>D61-D59</f>
        <v>12</v>
      </c>
      <c r="E60" s="16"/>
      <c r="F60" s="29"/>
      <c r="G60" s="18"/>
      <c r="H60" s="19"/>
      <c r="I60" s="19"/>
      <c r="J60" s="15" t="s">
        <v>30</v>
      </c>
      <c r="K60" s="42" t="s">
        <v>13</v>
      </c>
      <c r="L60" s="21"/>
      <c r="M60" s="22"/>
      <c r="N60" s="22"/>
      <c r="O60" s="41"/>
      <c r="P60" s="23"/>
      <c r="R60" s="12">
        <f>IF($L60="Scheduled",1,"")</f>
      </c>
    </row>
    <row r="61" spans="1:29" ht="12.75">
      <c r="A61" s="28"/>
      <c r="B61" s="14"/>
      <c r="C61" s="37" t="s">
        <v>31</v>
      </c>
      <c r="D61" s="43">
        <f>COUNT(A6:A58)</f>
        <v>35</v>
      </c>
      <c r="E61" s="16"/>
      <c r="F61" s="29"/>
      <c r="G61" s="18"/>
      <c r="H61" s="19"/>
      <c r="I61" s="19"/>
      <c r="J61" s="44">
        <f>SUM(J6:J58)/2</f>
        <v>32.81666666624369</v>
      </c>
      <c r="K61" s="44">
        <f>SUM(K6:K58)/2</f>
        <v>32.81666666624369</v>
      </c>
      <c r="L61" s="21"/>
      <c r="M61" s="22"/>
      <c r="N61" s="22"/>
      <c r="O61" s="41"/>
      <c r="P61" s="23"/>
      <c r="Q61" s="43">
        <f>SUM(Q1:Q58)</f>
        <v>23</v>
      </c>
      <c r="R61" s="43">
        <f>SUM(R1:R58)</f>
        <v>12</v>
      </c>
      <c r="S61" s="43">
        <f>SUM(S1:S58)</f>
        <v>3</v>
      </c>
      <c r="T61" s="43">
        <f>SUM(T1:T58)</f>
        <v>38</v>
      </c>
      <c r="AA61" s="30"/>
      <c r="AB61" s="30"/>
      <c r="AC61" s="30"/>
    </row>
    <row r="62" spans="1:19" ht="12.75">
      <c r="A62" s="28"/>
      <c r="B62" s="14"/>
      <c r="C62" s="37"/>
      <c r="D62" s="15"/>
      <c r="E62" s="16"/>
      <c r="F62" s="29"/>
      <c r="G62" s="18"/>
      <c r="H62" s="19"/>
      <c r="I62" s="19"/>
      <c r="J62" s="15"/>
      <c r="K62" s="20"/>
      <c r="L62" s="21"/>
      <c r="M62" s="22"/>
      <c r="N62" s="22"/>
      <c r="O62" s="21"/>
      <c r="P62" s="23"/>
      <c r="Q62" s="12" t="s">
        <v>32</v>
      </c>
      <c r="R62" s="45" t="s">
        <v>22</v>
      </c>
      <c r="S62" s="12" t="s">
        <v>33</v>
      </c>
    </row>
    <row r="63" spans="1:26" ht="12.75">
      <c r="A63" s="28"/>
      <c r="B63" s="14"/>
      <c r="C63" s="37" t="s">
        <v>34</v>
      </c>
      <c r="D63" s="15">
        <f>SUM(D6:D58)/2</f>
        <v>1695.1166666672216</v>
      </c>
      <c r="E63" s="46">
        <f>D63/24</f>
        <v>70.62986111113423</v>
      </c>
      <c r="F63" s="47" t="s">
        <v>35</v>
      </c>
      <c r="G63" s="18"/>
      <c r="H63" s="19"/>
      <c r="I63" s="19"/>
      <c r="J63" s="15"/>
      <c r="K63" s="20"/>
      <c r="L63" s="21"/>
      <c r="M63" s="22"/>
      <c r="N63" s="22"/>
      <c r="O63" s="21"/>
      <c r="P63" s="23"/>
      <c r="Q63" s="12">
        <f>IF($O65="Store Lost",1,"")</f>
      </c>
      <c r="T63" s="48"/>
      <c r="U63" s="30"/>
      <c r="V63" s="30"/>
      <c r="W63" s="30"/>
      <c r="X63" s="30"/>
      <c r="Y63" s="30"/>
      <c r="Z63" s="30"/>
    </row>
    <row r="64" spans="1:17" ht="12.75">
      <c r="A64" s="28"/>
      <c r="B64" s="14"/>
      <c r="C64" s="37" t="s">
        <v>36</v>
      </c>
      <c r="D64" s="15">
        <f>J61</f>
        <v>32.81666666624369</v>
      </c>
      <c r="E64" s="16" t="s">
        <v>37</v>
      </c>
      <c r="F64" s="29"/>
      <c r="G64" s="18"/>
      <c r="H64" s="19"/>
      <c r="I64" s="19"/>
      <c r="J64" s="15"/>
      <c r="K64" s="20"/>
      <c r="L64" s="21"/>
      <c r="M64" s="22"/>
      <c r="N64" s="22"/>
      <c r="O64" s="21"/>
      <c r="P64" s="23"/>
      <c r="Q64" s="12">
        <f>IF($O66="Store Lost",1,"")</f>
      </c>
    </row>
    <row r="65" spans="1:17" ht="12.75">
      <c r="A65" s="28"/>
      <c r="B65" s="14"/>
      <c r="C65" s="37" t="s">
        <v>38</v>
      </c>
      <c r="D65" s="43">
        <f>SUM(D63:D64)</f>
        <v>1727.9333333334653</v>
      </c>
      <c r="E65" s="46"/>
      <c r="F65" s="29"/>
      <c r="G65" s="18"/>
      <c r="H65" s="19"/>
      <c r="I65" s="19"/>
      <c r="J65" s="15"/>
      <c r="K65" s="20"/>
      <c r="L65" s="21"/>
      <c r="M65" s="22"/>
      <c r="N65" s="22"/>
      <c r="O65" s="21"/>
      <c r="P65" s="23"/>
      <c r="Q65" s="12">
        <f>IF($O67="Store Lost",1,"")</f>
      </c>
    </row>
    <row r="66" spans="1:18" ht="12.75">
      <c r="A66" s="28"/>
      <c r="B66" s="14"/>
      <c r="C66" s="37"/>
      <c r="D66" s="49"/>
      <c r="E66" s="50"/>
      <c r="F66" s="29"/>
      <c r="G66" s="18"/>
      <c r="H66" s="15"/>
      <c r="I66" s="19"/>
      <c r="J66" s="15"/>
      <c r="K66" s="20"/>
      <c r="L66" s="21"/>
      <c r="M66" s="22"/>
      <c r="N66" s="22"/>
      <c r="O66" s="21"/>
      <c r="P66" s="23"/>
      <c r="Q66" s="51">
        <f>Q61+R61</f>
        <v>35</v>
      </c>
      <c r="R66" s="12">
        <f>IF($P68="Store Lost",1,"")</f>
      </c>
    </row>
    <row r="67" spans="1:20" ht="12.75">
      <c r="A67" s="28"/>
      <c r="B67" s="14"/>
      <c r="C67" s="37"/>
      <c r="D67" s="49"/>
      <c r="E67" s="16"/>
      <c r="F67" s="29"/>
      <c r="G67" s="18"/>
      <c r="H67" s="19"/>
      <c r="I67" s="19"/>
      <c r="J67" s="15"/>
      <c r="K67" s="20"/>
      <c r="L67" s="21"/>
      <c r="M67" s="22"/>
      <c r="N67" s="22"/>
      <c r="O67" s="21"/>
      <c r="P67" s="23"/>
      <c r="Q67" s="23"/>
      <c r="R67" s="12">
        <f>IF($P69="Store Lost",1,"")</f>
      </c>
      <c r="S67" s="30"/>
      <c r="T67" s="30"/>
    </row>
    <row r="68" spans="1:18" ht="12.75">
      <c r="A68" s="28"/>
      <c r="B68" s="14"/>
      <c r="C68" s="37" t="s">
        <v>39</v>
      </c>
      <c r="D68" s="52">
        <f>IF(D59,D63/D59,D63)</f>
        <v>73.70072463770529</v>
      </c>
      <c r="E68" s="16"/>
      <c r="F68" s="29"/>
      <c r="G68" s="18"/>
      <c r="J68" s="7"/>
      <c r="K68" s="53"/>
      <c r="Q68" s="23"/>
      <c r="R68" s="12">
        <f>IF($P70="Store Lost",1,"")</f>
      </c>
    </row>
    <row r="69" spans="1:18" ht="12.75">
      <c r="A69" s="28"/>
      <c r="B69" s="14"/>
      <c r="C69" s="37" t="s">
        <v>40</v>
      </c>
      <c r="D69" s="49">
        <f>IF(D59,24/D68,0)</f>
        <v>0.3256413029583918</v>
      </c>
      <c r="E69" s="54"/>
      <c r="F69" s="55"/>
      <c r="G69" s="56"/>
      <c r="K69" s="53"/>
      <c r="Q69" s="23"/>
      <c r="R69" s="12" t="e">
        <f>NA()</f>
        <v>#N/A</v>
      </c>
    </row>
    <row r="70" spans="1:18" ht="27" customHeight="1">
      <c r="A70" s="28"/>
      <c r="B70" s="14"/>
      <c r="C70" s="37" t="s">
        <v>41</v>
      </c>
      <c r="D70" s="57">
        <f>D63/D65</f>
        <v>0.981008140746417</v>
      </c>
      <c r="E70" s="58"/>
      <c r="F70" s="29"/>
      <c r="G70" s="18"/>
      <c r="K70" s="53"/>
      <c r="Q70" s="23"/>
      <c r="R70" s="12" t="e">
        <f>NA()</f>
        <v>#N/A</v>
      </c>
    </row>
    <row r="71" spans="1:18" ht="12.75">
      <c r="A71" s="28"/>
      <c r="B71" s="14"/>
      <c r="C71" s="14"/>
      <c r="D71" s="15"/>
      <c r="E71" s="16"/>
      <c r="F71" s="29"/>
      <c r="G71" s="18"/>
      <c r="K71" s="53"/>
      <c r="Q71" s="23"/>
      <c r="R71" s="12">
        <f aca="true" t="shared" si="9" ref="R71:R80">IF($P73="Store Lost",1,"")</f>
      </c>
    </row>
    <row r="72" spans="1:29" s="59" customFormat="1" ht="12.75">
      <c r="A72" s="28"/>
      <c r="B72" s="14"/>
      <c r="C72" s="14"/>
      <c r="D72" s="15"/>
      <c r="E72" s="16"/>
      <c r="F72" s="29"/>
      <c r="G72" s="18"/>
      <c r="H72" s="7"/>
      <c r="I72" s="7"/>
      <c r="J72" s="3"/>
      <c r="K72" s="53"/>
      <c r="L72" s="9"/>
      <c r="M72" s="10"/>
      <c r="N72" s="10"/>
      <c r="O72" s="9"/>
      <c r="P72" s="11"/>
      <c r="Q72" s="23"/>
      <c r="R72" s="12">
        <f t="shared" si="9"/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18" ht="12.75">
      <c r="A73" s="28"/>
      <c r="B73" s="14"/>
      <c r="C73" s="14"/>
      <c r="D73" s="15"/>
      <c r="E73" s="16"/>
      <c r="F73" s="29"/>
      <c r="G73" s="18"/>
      <c r="K73" s="53"/>
      <c r="Q73" s="23"/>
      <c r="R73" s="12">
        <f t="shared" si="9"/>
      </c>
    </row>
    <row r="74" spans="1:18" ht="12.75">
      <c r="A74" s="28"/>
      <c r="B74" s="14"/>
      <c r="C74" s="14"/>
      <c r="D74" s="15"/>
      <c r="E74" s="16"/>
      <c r="F74" s="29"/>
      <c r="G74" s="18"/>
      <c r="K74" s="53"/>
      <c r="Q74" s="23"/>
      <c r="R74" s="12">
        <f t="shared" si="9"/>
      </c>
    </row>
    <row r="75" spans="1:18" ht="12.75">
      <c r="A75" s="28"/>
      <c r="B75" s="14"/>
      <c r="C75" s="14"/>
      <c r="D75" s="15"/>
      <c r="E75" s="16"/>
      <c r="F75" s="29"/>
      <c r="G75" s="18"/>
      <c r="K75" s="53"/>
      <c r="Q75" s="23"/>
      <c r="R75" s="12">
        <f t="shared" si="9"/>
      </c>
    </row>
    <row r="76" spans="1:18" ht="12.75">
      <c r="A76" s="28"/>
      <c r="B76" s="14"/>
      <c r="C76" s="14"/>
      <c r="D76" s="15"/>
      <c r="E76" s="16"/>
      <c r="F76" s="29"/>
      <c r="G76" s="18"/>
      <c r="K76" s="53"/>
      <c r="Q76" s="23"/>
      <c r="R76" s="12">
        <f t="shared" si="9"/>
      </c>
    </row>
    <row r="77" spans="1:18" ht="12.75">
      <c r="A77" s="28"/>
      <c r="B77" s="14"/>
      <c r="C77" s="14"/>
      <c r="D77" s="15"/>
      <c r="E77" s="16"/>
      <c r="F77" s="29"/>
      <c r="G77" s="18"/>
      <c r="K77" s="53"/>
      <c r="Q77" s="23"/>
      <c r="R77" s="12">
        <f t="shared" si="9"/>
      </c>
    </row>
    <row r="78" spans="1:18" ht="12.75">
      <c r="A78" s="28"/>
      <c r="B78" s="14"/>
      <c r="C78" s="14"/>
      <c r="D78" s="15"/>
      <c r="E78" s="16"/>
      <c r="F78" s="29"/>
      <c r="G78" s="18"/>
      <c r="K78" s="53"/>
      <c r="Q78" s="23"/>
      <c r="R78" s="12">
        <f t="shared" si="9"/>
      </c>
    </row>
    <row r="79" spans="1:18" ht="12.75">
      <c r="A79" s="28"/>
      <c r="B79" s="14"/>
      <c r="C79" s="14"/>
      <c r="D79" s="15"/>
      <c r="E79" s="16"/>
      <c r="F79" s="29"/>
      <c r="G79" s="18"/>
      <c r="K79" s="53"/>
      <c r="Q79" s="23"/>
      <c r="R79" s="12">
        <f t="shared" si="9"/>
      </c>
    </row>
    <row r="80" spans="1:18" ht="12.75">
      <c r="A80" s="28"/>
      <c r="B80" s="14"/>
      <c r="C80" s="14"/>
      <c r="D80" s="15"/>
      <c r="E80" s="16"/>
      <c r="F80" s="29"/>
      <c r="G80" s="18"/>
      <c r="K80" s="53"/>
      <c r="Q80" s="23"/>
      <c r="R80" s="12">
        <f t="shared" si="9"/>
      </c>
    </row>
    <row r="81" spans="1:29" s="60" customFormat="1" ht="12.75">
      <c r="A81" s="28"/>
      <c r="B81" s="14"/>
      <c r="C81" s="14"/>
      <c r="D81" s="15"/>
      <c r="E81" s="16"/>
      <c r="F81" s="29"/>
      <c r="G81" s="18"/>
      <c r="H81" s="7"/>
      <c r="I81" s="7"/>
      <c r="J81" s="3"/>
      <c r="K81" s="53"/>
      <c r="L81" s="9"/>
      <c r="M81" s="10"/>
      <c r="N81" s="10"/>
      <c r="O81" s="9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s="30" customFormat="1" ht="12.75">
      <c r="A82" s="28"/>
      <c r="B82" s="14"/>
      <c r="C82" s="14"/>
      <c r="D82" s="15"/>
      <c r="E82" s="16"/>
      <c r="F82" s="29"/>
      <c r="G82" s="18"/>
      <c r="H82" s="7"/>
      <c r="I82" s="7"/>
      <c r="J82" s="3"/>
      <c r="K82" s="53"/>
      <c r="L82" s="9"/>
      <c r="M82" s="10"/>
      <c r="N82" s="10"/>
      <c r="O82" s="9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59"/>
      <c r="AB82" s="59"/>
      <c r="AC82" s="59"/>
    </row>
    <row r="83" spans="1:16" ht="12.75">
      <c r="A83" s="28"/>
      <c r="B83" s="14"/>
      <c r="C83" s="14"/>
      <c r="D83" s="15"/>
      <c r="E83" s="16"/>
      <c r="F83" s="29"/>
      <c r="G83" s="18"/>
      <c r="H83" s="19"/>
      <c r="I83" s="19"/>
      <c r="J83" s="15"/>
      <c r="K83" s="20"/>
      <c r="L83" s="21"/>
      <c r="M83" s="22"/>
      <c r="N83" s="22"/>
      <c r="O83" s="21"/>
      <c r="P83" s="23"/>
    </row>
    <row r="84" spans="1:26" ht="12.75">
      <c r="A84" s="28"/>
      <c r="B84" s="14"/>
      <c r="C84" s="14"/>
      <c r="E84" s="16"/>
      <c r="F84" s="29"/>
      <c r="G84" s="18"/>
      <c r="H84" s="19"/>
      <c r="I84" s="19"/>
      <c r="L84" s="21"/>
      <c r="M84" s="22"/>
      <c r="N84" s="22"/>
      <c r="O84" s="21"/>
      <c r="P84" s="23"/>
      <c r="U84" s="59"/>
      <c r="V84" s="59"/>
      <c r="W84" s="59"/>
      <c r="X84" s="59"/>
      <c r="Y84" s="59"/>
      <c r="Z84" s="59"/>
    </row>
    <row r="85" spans="1:16" ht="12.75">
      <c r="A85" s="28"/>
      <c r="B85" s="14"/>
      <c r="C85" s="14"/>
      <c r="E85" s="16"/>
      <c r="F85" s="29"/>
      <c r="G85" s="18"/>
      <c r="H85" s="19"/>
      <c r="I85" s="19"/>
      <c r="L85" s="21"/>
      <c r="M85" s="22"/>
      <c r="N85" s="22"/>
      <c r="O85" s="21"/>
      <c r="P85" s="23"/>
    </row>
    <row r="86" spans="1:16" ht="12.75">
      <c r="A86" s="28"/>
      <c r="B86" s="14"/>
      <c r="C86" s="14"/>
      <c r="E86" s="16"/>
      <c r="F86" s="29"/>
      <c r="G86" s="18"/>
      <c r="H86" s="19"/>
      <c r="I86" s="19"/>
      <c r="L86" s="21"/>
      <c r="M86" s="22"/>
      <c r="N86" s="22"/>
      <c r="O86" s="21"/>
      <c r="P86" s="23"/>
    </row>
    <row r="87" spans="1:16" ht="12.75">
      <c r="A87" s="28"/>
      <c r="B87" s="14"/>
      <c r="C87" s="14"/>
      <c r="F87" s="29"/>
      <c r="G87" s="18"/>
      <c r="H87" s="19"/>
      <c r="I87" s="19"/>
      <c r="L87" s="21"/>
      <c r="M87" s="22"/>
      <c r="N87" s="22"/>
      <c r="O87" s="21"/>
      <c r="P87" s="23"/>
    </row>
    <row r="88" spans="1:20" ht="12.75">
      <c r="A88" s="28"/>
      <c r="B88" s="14"/>
      <c r="C88" s="14"/>
      <c r="F88" s="29"/>
      <c r="G88" s="18"/>
      <c r="H88" s="19"/>
      <c r="I88" s="19"/>
      <c r="L88" s="21"/>
      <c r="M88" s="22"/>
      <c r="N88" s="22"/>
      <c r="O88" s="21"/>
      <c r="P88" s="23"/>
      <c r="R88" s="59"/>
      <c r="S88" s="59"/>
      <c r="T88" s="59"/>
    </row>
    <row r="89" spans="2:16" ht="12.75">
      <c r="B89" s="14"/>
      <c r="C89" s="14"/>
      <c r="F89" s="29"/>
      <c r="G89" s="18"/>
      <c r="H89" s="19"/>
      <c r="I89" s="19"/>
      <c r="L89" s="21"/>
      <c r="M89" s="22"/>
      <c r="N89" s="22"/>
      <c r="O89" s="21"/>
      <c r="P89" s="23"/>
    </row>
    <row r="90" spans="2:17" ht="12.75">
      <c r="B90" s="14"/>
      <c r="C90" s="14"/>
      <c r="F90" s="29"/>
      <c r="G90" s="18"/>
      <c r="H90" s="19"/>
      <c r="I90" s="19"/>
      <c r="L90" s="21"/>
      <c r="M90" s="22"/>
      <c r="N90" s="22"/>
      <c r="O90" s="21"/>
      <c r="P90" s="23"/>
      <c r="Q90" s="12">
        <f aca="true" t="shared" si="10" ref="Q90:Q121">IF($O92="Store Lost",1,"")</f>
      </c>
    </row>
    <row r="91" spans="2:29" ht="12.75">
      <c r="B91" s="14"/>
      <c r="C91" s="14"/>
      <c r="F91" s="29"/>
      <c r="G91" s="18"/>
      <c r="H91" s="19"/>
      <c r="I91" s="19"/>
      <c r="L91" s="21"/>
      <c r="M91" s="22"/>
      <c r="N91" s="22"/>
      <c r="O91" s="21"/>
      <c r="P91" s="23"/>
      <c r="Q91" s="12">
        <f t="shared" si="10"/>
      </c>
      <c r="AA91" s="60"/>
      <c r="AB91" s="60"/>
      <c r="AC91" s="60"/>
    </row>
    <row r="92" spans="2:29" ht="12.75">
      <c r="B92" s="14"/>
      <c r="C92" s="14"/>
      <c r="Q92" s="12">
        <f t="shared" si="10"/>
      </c>
      <c r="AA92" s="30"/>
      <c r="AB92" s="30"/>
      <c r="AC92" s="30"/>
    </row>
    <row r="93" spans="17:26" ht="12.75">
      <c r="Q93" s="12">
        <f t="shared" si="10"/>
      </c>
      <c r="U93" s="60"/>
      <c r="V93" s="60"/>
      <c r="W93" s="60"/>
      <c r="X93" s="60"/>
      <c r="Y93" s="60"/>
      <c r="Z93" s="60"/>
    </row>
    <row r="94" spans="17:26" ht="12.75">
      <c r="Q94" s="12">
        <f t="shared" si="10"/>
      </c>
      <c r="U94" s="30"/>
      <c r="V94" s="30"/>
      <c r="W94" s="30"/>
      <c r="X94" s="30"/>
      <c r="Y94" s="30"/>
      <c r="Z94" s="30"/>
    </row>
    <row r="95" spans="1:29" s="59" customFormat="1" ht="12.75">
      <c r="A95" s="1"/>
      <c r="B95" s="2"/>
      <c r="C95" s="2"/>
      <c r="D95" s="3"/>
      <c r="E95" s="4"/>
      <c r="F95" s="5"/>
      <c r="G95" s="6"/>
      <c r="H95" s="7"/>
      <c r="I95" s="7"/>
      <c r="J95" s="3"/>
      <c r="K95" s="8"/>
      <c r="L95" s="9"/>
      <c r="M95" s="10"/>
      <c r="N95" s="10"/>
      <c r="O95" s="9"/>
      <c r="P95" s="11"/>
      <c r="Q95" s="12">
        <f t="shared" si="10"/>
      </c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ht="12.75">
      <c r="Q96" s="12">
        <f t="shared" si="10"/>
      </c>
    </row>
    <row r="97" spans="17:20" ht="12.75">
      <c r="Q97" s="12">
        <f t="shared" si="10"/>
      </c>
      <c r="R97" s="60"/>
      <c r="S97" s="60"/>
      <c r="T97" s="60"/>
    </row>
    <row r="98" spans="17:20" ht="12.75">
      <c r="Q98" s="12">
        <f t="shared" si="10"/>
      </c>
      <c r="R98" s="30"/>
      <c r="S98" s="30"/>
      <c r="T98" s="30"/>
    </row>
    <row r="99" ht="12.75">
      <c r="Q99" s="12">
        <f t="shared" si="10"/>
      </c>
    </row>
    <row r="100" ht="12.75">
      <c r="Q100" s="12">
        <f t="shared" si="10"/>
      </c>
    </row>
    <row r="101" ht="12.75">
      <c r="Q101" s="12">
        <f t="shared" si="10"/>
      </c>
    </row>
    <row r="102" ht="12.75">
      <c r="Q102" s="12">
        <f t="shared" si="10"/>
      </c>
    </row>
    <row r="103" ht="12.75">
      <c r="Q103" s="12">
        <f t="shared" si="10"/>
      </c>
    </row>
    <row r="104" ht="12.75">
      <c r="Q104" s="12">
        <f t="shared" si="10"/>
      </c>
    </row>
    <row r="105" spans="17:29" ht="12.75">
      <c r="Q105" s="12">
        <f t="shared" si="10"/>
      </c>
      <c r="AA105" s="59"/>
      <c r="AB105" s="59"/>
      <c r="AC105" s="59"/>
    </row>
    <row r="106" ht="12.75">
      <c r="Q106" s="12">
        <f t="shared" si="10"/>
      </c>
    </row>
    <row r="107" spans="17:26" ht="12.75">
      <c r="Q107" s="12">
        <f t="shared" si="10"/>
      </c>
      <c r="U107" s="59"/>
      <c r="V107" s="59"/>
      <c r="W107" s="59"/>
      <c r="X107" s="59"/>
      <c r="Y107" s="59"/>
      <c r="Z107" s="59"/>
    </row>
    <row r="108" spans="1:29" s="59" customFormat="1" ht="12.75">
      <c r="A108" s="1"/>
      <c r="B108" s="2"/>
      <c r="C108" s="2"/>
      <c r="D108" s="3"/>
      <c r="E108" s="4"/>
      <c r="F108" s="5"/>
      <c r="G108" s="6"/>
      <c r="H108" s="7"/>
      <c r="I108" s="7"/>
      <c r="J108" s="3"/>
      <c r="K108" s="8"/>
      <c r="L108" s="9"/>
      <c r="M108" s="10"/>
      <c r="N108" s="10"/>
      <c r="O108" s="9"/>
      <c r="P108" s="11"/>
      <c r="Q108" s="12">
        <f t="shared" si="10"/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s="30" customFormat="1" ht="12.75">
      <c r="A109" s="1"/>
      <c r="B109" s="2"/>
      <c r="C109" s="2"/>
      <c r="D109" s="3"/>
      <c r="E109" s="4"/>
      <c r="F109" s="5"/>
      <c r="G109" s="6"/>
      <c r="H109" s="7"/>
      <c r="I109" s="7"/>
      <c r="J109" s="3"/>
      <c r="K109" s="8"/>
      <c r="L109" s="9"/>
      <c r="M109" s="10"/>
      <c r="N109" s="10"/>
      <c r="O109" s="9"/>
      <c r="P109" s="11"/>
      <c r="Q109" s="12">
        <f t="shared" si="10"/>
      </c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s="59" customFormat="1" ht="12.75">
      <c r="A110" s="1"/>
      <c r="B110" s="2"/>
      <c r="C110" s="2"/>
      <c r="D110" s="3"/>
      <c r="E110" s="4"/>
      <c r="F110" s="5"/>
      <c r="G110" s="6"/>
      <c r="H110" s="7"/>
      <c r="I110" s="7"/>
      <c r="J110" s="3"/>
      <c r="K110" s="8"/>
      <c r="L110" s="9"/>
      <c r="M110" s="10"/>
      <c r="N110" s="10"/>
      <c r="O110" s="9"/>
      <c r="P110" s="11"/>
      <c r="Q110" s="12">
        <f t="shared" si="10"/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7:20" ht="12.75">
      <c r="Q111" s="12">
        <f t="shared" si="10"/>
      </c>
      <c r="R111" s="59"/>
      <c r="S111" s="59"/>
      <c r="T111" s="59"/>
    </row>
    <row r="112" ht="12.75">
      <c r="Q112" s="12">
        <f t="shared" si="10"/>
      </c>
    </row>
    <row r="113" ht="12.75">
      <c r="Q113" s="12">
        <f t="shared" si="10"/>
      </c>
    </row>
    <row r="114" ht="12.75">
      <c r="Q114" s="12">
        <f t="shared" si="10"/>
      </c>
    </row>
    <row r="115" ht="12.75">
      <c r="Q115" s="12">
        <f t="shared" si="10"/>
      </c>
    </row>
    <row r="116" ht="12.75">
      <c r="Q116" s="12">
        <f t="shared" si="10"/>
      </c>
    </row>
    <row r="117" ht="12.75">
      <c r="Q117" s="12">
        <f t="shared" si="10"/>
      </c>
    </row>
    <row r="118" spans="17:29" ht="12.75">
      <c r="Q118" s="12">
        <f t="shared" si="10"/>
      </c>
      <c r="AA118" s="59"/>
      <c r="AB118" s="59"/>
      <c r="AC118" s="59"/>
    </row>
    <row r="119" spans="17:29" ht="12.75">
      <c r="Q119" s="12">
        <f t="shared" si="10"/>
      </c>
      <c r="AA119" s="30"/>
      <c r="AB119" s="30"/>
      <c r="AC119" s="30"/>
    </row>
    <row r="120" spans="17:29" ht="12.75">
      <c r="Q120" s="12">
        <f t="shared" si="10"/>
      </c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17:26" ht="12.75">
      <c r="Q121" s="12">
        <f t="shared" si="10"/>
      </c>
      <c r="U121" s="30"/>
      <c r="V121" s="30"/>
      <c r="W121" s="30"/>
      <c r="X121" s="30"/>
      <c r="Y121" s="30"/>
      <c r="Z121" s="30"/>
    </row>
    <row r="122" spans="17:26" ht="12.75">
      <c r="Q122" s="12">
        <f aca="true" t="shared" si="11" ref="Q122:Q147">IF($O124="Store Lost",1,"")</f>
      </c>
      <c r="U122" s="59"/>
      <c r="V122" s="59"/>
      <c r="W122" s="59"/>
      <c r="X122" s="59"/>
      <c r="Y122" s="59"/>
      <c r="Z122" s="59"/>
    </row>
    <row r="123" ht="12.75">
      <c r="Q123" s="12">
        <f t="shared" si="11"/>
      </c>
    </row>
    <row r="124" spans="17:20" ht="12.75">
      <c r="Q124" s="12">
        <f t="shared" si="11"/>
      </c>
      <c r="R124" s="59"/>
      <c r="S124" s="59"/>
      <c r="T124" s="59"/>
    </row>
    <row r="125" spans="17:20" ht="12.75">
      <c r="Q125" s="12">
        <f t="shared" si="11"/>
      </c>
      <c r="R125" s="30"/>
      <c r="S125" s="30"/>
      <c r="T125" s="30"/>
    </row>
    <row r="126" spans="17:20" ht="12.75">
      <c r="Q126" s="12">
        <f t="shared" si="11"/>
      </c>
      <c r="R126" s="59"/>
      <c r="S126" s="59"/>
      <c r="T126" s="59"/>
    </row>
    <row r="127" ht="12.75">
      <c r="Q127" s="12">
        <f t="shared" si="11"/>
      </c>
    </row>
    <row r="128" ht="12.75">
      <c r="Q128" s="12">
        <f t="shared" si="11"/>
      </c>
    </row>
    <row r="129" ht="12.75">
      <c r="Q129" s="12">
        <f t="shared" si="11"/>
      </c>
    </row>
    <row r="130" ht="12.75">
      <c r="Q130" s="12">
        <f t="shared" si="11"/>
      </c>
    </row>
    <row r="131" spans="1:29" s="59" customFormat="1" ht="12.75">
      <c r="A131" s="1"/>
      <c r="B131" s="2"/>
      <c r="C131" s="2"/>
      <c r="D131" s="3"/>
      <c r="E131" s="4"/>
      <c r="F131" s="5"/>
      <c r="G131" s="6"/>
      <c r="H131" s="7"/>
      <c r="I131" s="7"/>
      <c r="J131" s="3"/>
      <c r="K131" s="8"/>
      <c r="L131" s="9"/>
      <c r="M131" s="10"/>
      <c r="N131" s="10"/>
      <c r="O131" s="9"/>
      <c r="P131" s="11"/>
      <c r="Q131" s="12">
        <f t="shared" si="11"/>
      </c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ht="12.75">
      <c r="Q132" s="12">
        <f t="shared" si="11"/>
      </c>
    </row>
    <row r="133" ht="12.75">
      <c r="Q133" s="12">
        <f t="shared" si="11"/>
      </c>
    </row>
    <row r="134" ht="12.75">
      <c r="Q134" s="12">
        <f t="shared" si="11"/>
      </c>
    </row>
    <row r="135" ht="12.75">
      <c r="Q135" s="12">
        <f t="shared" si="11"/>
      </c>
    </row>
    <row r="136" ht="12.75">
      <c r="Q136" s="12">
        <f t="shared" si="11"/>
      </c>
    </row>
    <row r="137" ht="12.75">
      <c r="Q137" s="12">
        <f t="shared" si="11"/>
      </c>
    </row>
    <row r="138" ht="12.75">
      <c r="Q138" s="12">
        <f t="shared" si="11"/>
      </c>
    </row>
    <row r="139" ht="12.75">
      <c r="Q139" s="12">
        <f t="shared" si="11"/>
      </c>
    </row>
    <row r="140" ht="12.75">
      <c r="Q140" s="12">
        <f t="shared" si="11"/>
      </c>
    </row>
    <row r="141" spans="17:29" ht="12.75">
      <c r="Q141" s="12">
        <f t="shared" si="11"/>
      </c>
      <c r="AA141" s="59"/>
      <c r="AB141" s="59"/>
      <c r="AC141" s="59"/>
    </row>
    <row r="142" ht="12.75">
      <c r="Q142" s="12">
        <f t="shared" si="11"/>
      </c>
    </row>
    <row r="143" spans="17:26" ht="12.75">
      <c r="Q143" s="12">
        <f t="shared" si="11"/>
      </c>
      <c r="U143" s="59"/>
      <c r="V143" s="59"/>
      <c r="W143" s="59"/>
      <c r="X143" s="59"/>
      <c r="Y143" s="59"/>
      <c r="Z143" s="59"/>
    </row>
    <row r="144" ht="12.75">
      <c r="Q144" s="12">
        <f t="shared" si="11"/>
      </c>
    </row>
    <row r="145" ht="12.75">
      <c r="Q145" s="12">
        <f t="shared" si="11"/>
      </c>
    </row>
    <row r="146" ht="12.75">
      <c r="Q146" s="12">
        <f t="shared" si="11"/>
      </c>
    </row>
    <row r="147" spans="17:20" ht="12.75">
      <c r="Q147" s="12">
        <f t="shared" si="11"/>
      </c>
      <c r="R147" s="59"/>
      <c r="S147" s="59"/>
      <c r="T147" s="59"/>
    </row>
    <row r="151" ht="12.75">
      <c r="Q151" s="12">
        <f>COUNT(Q9:Q147)</f>
        <v>24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70" r:id="rId2"/>
  <headerFooter alignWithMargins="0">
    <oddFooter>&amp;RUpdated &amp;D</oddFooter>
  </headerFooter>
  <rowBreaks count="2" manualBreakCount="2">
    <brk id="70" max="1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6"/>
  <sheetViews>
    <sheetView zoomScale="75" zoomScaleNormal="75" zoomScalePageLayoutView="0" workbookViewId="0" topLeftCell="A1">
      <selection activeCell="R19" sqref="R19"/>
    </sheetView>
  </sheetViews>
  <sheetFormatPr defaultColWidth="9.140625" defaultRowHeight="12.75"/>
  <cols>
    <col min="1" max="1" width="21.140625" style="0" customWidth="1"/>
    <col min="2" max="2" width="18.140625" style="0" customWidth="1"/>
    <col min="3" max="12" width="9.28125" style="0" customWidth="1"/>
    <col min="13" max="13" width="10.57421875" style="0" customWidth="1"/>
    <col min="14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bestFit="1" customWidth="1"/>
    <col min="30" max="30" width="4.421875" style="0" customWidth="1"/>
    <col min="31" max="32" width="21.140625" style="0" bestFit="1" customWidth="1"/>
    <col min="33" max="33" width="5.00390625" style="0" customWidth="1"/>
    <col min="34" max="35" width="21.140625" style="0" bestFit="1" customWidth="1"/>
    <col min="36" max="36" width="10.28125" style="0" bestFit="1" customWidth="1"/>
  </cols>
  <sheetData>
    <row r="3" spans="1:12" ht="12.75">
      <c r="A3" s="84"/>
      <c r="B3" s="116" t="s">
        <v>14</v>
      </c>
      <c r="C3" s="115"/>
      <c r="D3" s="115"/>
      <c r="E3" s="115"/>
      <c r="F3" s="115"/>
      <c r="G3" s="115"/>
      <c r="H3" s="115"/>
      <c r="I3" s="115"/>
      <c r="J3" s="115"/>
      <c r="K3" s="115"/>
      <c r="L3" s="117"/>
    </row>
    <row r="4" spans="1:12" ht="12.75">
      <c r="A4" s="116" t="s">
        <v>42</v>
      </c>
      <c r="B4" s="84" t="s">
        <v>23</v>
      </c>
      <c r="C4" s="118" t="s">
        <v>24</v>
      </c>
      <c r="D4" s="118" t="s">
        <v>25</v>
      </c>
      <c r="E4" s="118" t="s">
        <v>70</v>
      </c>
      <c r="F4" s="118" t="s">
        <v>72</v>
      </c>
      <c r="G4" s="118" t="s">
        <v>77</v>
      </c>
      <c r="H4" s="118" t="s">
        <v>26</v>
      </c>
      <c r="I4" s="118" t="s">
        <v>89</v>
      </c>
      <c r="J4" s="118" t="s">
        <v>90</v>
      </c>
      <c r="K4" s="118" t="s">
        <v>71</v>
      </c>
      <c r="L4" s="119" t="s">
        <v>62</v>
      </c>
    </row>
    <row r="5" spans="1:12" ht="12.75">
      <c r="A5" s="84" t="s">
        <v>43</v>
      </c>
      <c r="B5" s="120">
        <v>0</v>
      </c>
      <c r="C5" s="121">
        <v>0</v>
      </c>
      <c r="D5" s="121">
        <v>1</v>
      </c>
      <c r="E5" s="121">
        <v>0</v>
      </c>
      <c r="F5" s="121">
        <v>0</v>
      </c>
      <c r="G5" s="121">
        <v>0</v>
      </c>
      <c r="H5" s="121">
        <v>1</v>
      </c>
      <c r="I5" s="121">
        <v>0</v>
      </c>
      <c r="J5" s="121">
        <v>1</v>
      </c>
      <c r="K5" s="121">
        <v>0</v>
      </c>
      <c r="L5" s="122">
        <v>3</v>
      </c>
    </row>
    <row r="6" spans="1:12" ht="12.75">
      <c r="A6" s="124" t="s">
        <v>44</v>
      </c>
      <c r="B6" s="125">
        <v>2</v>
      </c>
      <c r="C6" s="74">
        <v>7</v>
      </c>
      <c r="D6" s="74">
        <v>1</v>
      </c>
      <c r="E6" s="74">
        <v>3</v>
      </c>
      <c r="F6" s="74">
        <v>1</v>
      </c>
      <c r="G6" s="74">
        <v>1</v>
      </c>
      <c r="H6" s="74">
        <v>2</v>
      </c>
      <c r="I6" s="74">
        <v>3</v>
      </c>
      <c r="J6" s="74">
        <v>2</v>
      </c>
      <c r="K6" s="74">
        <v>1</v>
      </c>
      <c r="L6" s="126">
        <v>23</v>
      </c>
    </row>
    <row r="7" spans="1:12" ht="12.75">
      <c r="A7" s="132" t="s">
        <v>68</v>
      </c>
      <c r="B7" s="163">
        <v>3.3999999999068677</v>
      </c>
      <c r="C7" s="133">
        <v>3.4333333333488554</v>
      </c>
      <c r="D7" s="133">
        <v>1.5833333332557231</v>
      </c>
      <c r="E7" s="160">
        <v>3.383333333185874</v>
      </c>
      <c r="F7" s="160">
        <v>0.3666666666395031</v>
      </c>
      <c r="G7" s="160">
        <v>3.8999999999650754</v>
      </c>
      <c r="H7" s="160">
        <v>3.766666666546371</v>
      </c>
      <c r="I7" s="160">
        <v>1.400000000023283</v>
      </c>
      <c r="J7" s="160">
        <v>11.316666666709352</v>
      </c>
      <c r="K7" s="160">
        <v>0.26666666666278616</v>
      </c>
      <c r="L7" s="134">
        <v>32.81666666624369</v>
      </c>
    </row>
    <row r="13" spans="2:20" ht="12.75">
      <c r="B13" s="61" t="s">
        <v>24</v>
      </c>
      <c r="C13" s="62" t="s">
        <v>47</v>
      </c>
      <c r="D13" s="62" t="s">
        <v>23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52</v>
      </c>
      <c r="J13" s="62" t="s">
        <v>53</v>
      </c>
      <c r="K13" s="62" t="s">
        <v>54</v>
      </c>
      <c r="L13" s="62" t="s">
        <v>55</v>
      </c>
      <c r="M13" s="62" t="s">
        <v>56</v>
      </c>
      <c r="N13" s="62" t="s">
        <v>57</v>
      </c>
      <c r="O13" s="62" t="s">
        <v>58</v>
      </c>
      <c r="P13" s="62" t="s">
        <v>59</v>
      </c>
      <c r="Q13" s="63" t="s">
        <v>60</v>
      </c>
      <c r="R13" s="64" t="s">
        <v>61</v>
      </c>
      <c r="S13" s="64" t="s">
        <v>62</v>
      </c>
      <c r="T13" s="65" t="s">
        <v>63</v>
      </c>
    </row>
    <row r="15" spans="1:20" s="69" customFormat="1" ht="12.75">
      <c r="A15" s="164" t="s">
        <v>73</v>
      </c>
      <c r="B15" s="67">
        <f>IF(B17,SUM(B17/B26),"")</f>
        <v>0.0019869593734414483</v>
      </c>
      <c r="C15" s="67">
        <f>IF(C17,SUM(C17/B26),"")</f>
        <v>0.002257031521257443</v>
      </c>
      <c r="D15" s="67">
        <f>IF(D17,SUM(D17/B26),"")</f>
        <v>0.0019676685056753394</v>
      </c>
      <c r="E15" s="67">
        <f>IF(E17,SUM(E17/B26),"")</f>
        <v>0.0009163162158584063</v>
      </c>
      <c r="F15" s="67">
        <f>IF(F17,SUM(F17/B26),"")</f>
      </c>
      <c r="G15" s="67">
        <f>IF(G17,SUM(G17/B26),0)</f>
        <v>0.001958023071792285</v>
      </c>
      <c r="H15" s="67">
        <f>IF(H17,SUM(H17/B26),"")</f>
      </c>
      <c r="I15" s="67">
        <f>IF(I17,SUM(I17/B26),"")</f>
        <v>0.0021798680503951253</v>
      </c>
      <c r="J15" s="67">
        <f>IF(J17,SUM(J17/B26),"")</f>
        <v>0.0008102164435490429</v>
      </c>
      <c r="K15" s="67">
        <f>IF(K17,SUM(K17/B26),"")</f>
      </c>
      <c r="L15" s="67">
        <f>IF(L17,SUM(L17/B26),"")</f>
      </c>
      <c r="M15" s="67">
        <f>IF(M17,SUM(M17/B26),"")</f>
      </c>
      <c r="N15" s="67">
        <f>IF(N17,SUM(N17/B26),"")</f>
        <v>0.006549249585270547</v>
      </c>
      <c r="O15" s="67">
        <f>IF(O17,SUM(O17/B26),"")</f>
      </c>
      <c r="P15" s="67">
        <f>IF(P17,SUM(P17/B26),"")</f>
        <v>0.00015432694162357679</v>
      </c>
      <c r="Q15" s="67">
        <f>IF(Q17,SUM(Q17/B26),"")</f>
      </c>
      <c r="R15" s="67">
        <f>IF(R17,SUM(R17/B26),"")</f>
        <v>0.00021219954471978574</v>
      </c>
      <c r="S15" s="67">
        <f>IF(S17,SUM(S17/B26),"")</f>
        <v>0.018991859253583</v>
      </c>
      <c r="T15" s="68">
        <f>IF(T17,SUM(T17/M13),"")</f>
      </c>
    </row>
    <row r="16" spans="1:20" ht="12.75">
      <c r="A16" s="66" t="s">
        <v>64</v>
      </c>
      <c r="B16" s="70">
        <f>'[1]reliabilitySummary'!$B$7</f>
        <v>0.0054</v>
      </c>
      <c r="C16" s="70">
        <f>'[1]reliabilitySummary'!$B$8</f>
        <v>0.0012000000000000001</v>
      </c>
      <c r="D16" s="70">
        <f>'[1]reliabilitySummary'!$B$9</f>
        <v>0.0054</v>
      </c>
      <c r="E16" s="70">
        <f>'[1]reliabilitySummary'!$B$10</f>
        <v>0.003</v>
      </c>
      <c r="F16" s="70">
        <f>'[1]reliabilitySummary'!$B$13</f>
        <v>0.0006000000000000001</v>
      </c>
      <c r="G16" s="70">
        <f>'[1]reliabilitySummary'!$B$14</f>
        <v>0.0006000000000000001</v>
      </c>
      <c r="H16" s="70">
        <f>'[1]reliabilitySummary'!$B$15</f>
        <v>0.0006000000000000001</v>
      </c>
      <c r="I16" s="70">
        <f>'[1]reliabilitySummary'!$B$16</f>
        <v>0.0036000000000000003</v>
      </c>
      <c r="J16" s="70">
        <f>'[1]reliabilitySummary'!$B$18</f>
        <v>0.0012000000000000001</v>
      </c>
      <c r="K16" s="70">
        <f>'[1]reliabilitySummary'!$B$19</f>
        <v>0</v>
      </c>
      <c r="L16" s="70">
        <f>'[1]reliabilitySummary'!$B$20</f>
        <v>0.0006000000000000001</v>
      </c>
      <c r="M16" s="70">
        <f>'[1]reliabilitySummary'!$B$24</f>
        <v>0.0006000000000000001</v>
      </c>
      <c r="N16" s="70">
        <f>'[1]reliabilitySummary'!$B$25</f>
        <v>0.0018000000000000002</v>
      </c>
      <c r="O16" s="70">
        <f>'[1]reliabilitySummary'!$B$26</f>
        <v>0.0006000000000000001</v>
      </c>
      <c r="P16" s="70">
        <f>'[1]reliabilitySummary'!$B$27</f>
        <v>0.0018000000000000002</v>
      </c>
      <c r="Q16" s="70">
        <f>'[1]reliabilitySummary'!$B$11</f>
        <v>0.0012000000000000001</v>
      </c>
      <c r="R16" s="70">
        <f>'[1]reliabilitySummary'!$B$28</f>
        <v>0.0006000000000000001</v>
      </c>
      <c r="S16" s="70">
        <v>0.03</v>
      </c>
      <c r="T16" s="71"/>
    </row>
    <row r="17" spans="1:20" s="69" customFormat="1" ht="12.75">
      <c r="A17" s="66" t="s">
        <v>65</v>
      </c>
      <c r="B17" s="68">
        <f>GETPIVOTDATA("Sum of System
Length",$A$3,"Group","RF")</f>
        <v>3.4333333333488554</v>
      </c>
      <c r="C17" s="68">
        <f>GETPIVOTDATA("Sum of System
Length",$A$3,"Group","DIA")</f>
        <v>3.8999999999650754</v>
      </c>
      <c r="D17" s="68">
        <f>GETPIVOTDATA("Sum of System
Length",$A$3,"Group","PS")</f>
        <v>3.3999999999068677</v>
      </c>
      <c r="E17" s="68">
        <f>GETPIVOTDATA("Sum of System
Length",$A$3,"Group","CTl")</f>
        <v>1.5833333332557231</v>
      </c>
      <c r="F17" s="68"/>
      <c r="G17" s="68">
        <f>GETPIVOTDATA("Sum of System
Length",$A$3,"Group","SI")</f>
        <v>3.383333333185874</v>
      </c>
      <c r="H17" s="68"/>
      <c r="I17" s="68">
        <f>GETPIVOTDATA("Sum of System
Length",$A$3,"Group","MOM")</f>
        <v>3.766666666546371</v>
      </c>
      <c r="J17" s="68">
        <f>GETPIVOTDATA("Sum of System
Length",$A$3,"Group","AOP")</f>
        <v>1.400000000023283</v>
      </c>
      <c r="K17" s="68"/>
      <c r="L17" s="68"/>
      <c r="M17" s="68"/>
      <c r="N17" s="68">
        <f>GETPIVOTDATA("Sum of System
Length",$A$3,"Group","ComEd")</f>
        <v>11.316666666709352</v>
      </c>
      <c r="O17" s="68"/>
      <c r="P17" s="68">
        <f>GETPIVOTDATA("Sum of System
Length",$A$3,"Group","Weather")</f>
        <v>0.26666666666278616</v>
      </c>
      <c r="Q17" s="68"/>
      <c r="R17" s="68">
        <f>GETPIVOTDATA("Sum of System
Length",$A$3,"Group","OTH")</f>
        <v>0.3666666666395031</v>
      </c>
      <c r="S17" s="72">
        <f>'Main Data'!J61</f>
        <v>32.81666666624369</v>
      </c>
      <c r="T17" s="73"/>
    </row>
    <row r="18" spans="1:19" ht="12.75">
      <c r="A18" s="75" t="s">
        <v>66</v>
      </c>
      <c r="B18">
        <f>GETPIVOTDATA("Sum - Store Lost",$A$3,"Group","Rf")</f>
        <v>7</v>
      </c>
      <c r="C18">
        <f>GETPIVOTDATA("Sum - Store Lost",$A$3,"Group","DIA")</f>
        <v>1</v>
      </c>
      <c r="D18">
        <f>GETPIVOTDATA("Sum - Store Lost",$A$3,"Group","PS")</f>
        <v>2</v>
      </c>
      <c r="E18">
        <f>GETPIVOTDATA("Sum - Store Lost",$A$3,"Group","CTL")</f>
        <v>1</v>
      </c>
      <c r="G18">
        <f>GETPIVOTDATA("Sum - Store Lost",$A$3,"Group","SI")</f>
        <v>3</v>
      </c>
      <c r="I18">
        <f>GETPIVOTDATA("Sum - Store Lost",$A$3,"Group","MOM")</f>
        <v>2</v>
      </c>
      <c r="J18">
        <f>GETPIVOTDATA("Sum - Store Lost",$A$3,"Group","AOP")</f>
        <v>3</v>
      </c>
      <c r="N18">
        <f>GETPIVOTDATA("Sum - Store Lost",$A$3,"Group","ComEd")</f>
        <v>2</v>
      </c>
      <c r="P18">
        <f>SUM(GETPIVOTDATA("Sum - Store Lost",$A$3,"Group","Weather")+GETPIVOTDATA("Sum - Store Lost",$A$3,"Group","OTH"))</f>
        <v>2</v>
      </c>
      <c r="S18" s="72">
        <f>SUM(B18:R18)</f>
        <v>23</v>
      </c>
    </row>
    <row r="19" spans="1:19" ht="12.75">
      <c r="A19" s="75"/>
      <c r="B19" s="74"/>
      <c r="C19" s="74"/>
      <c r="D19" s="74"/>
      <c r="E19" s="74"/>
      <c r="G19" s="74"/>
      <c r="H19" s="74"/>
      <c r="I19" s="74"/>
      <c r="M19" s="74"/>
      <c r="O19" s="74"/>
      <c r="S19" s="72"/>
    </row>
    <row r="20" spans="1:19" ht="13.5" thickBot="1">
      <c r="A20" s="75"/>
      <c r="B20" s="74"/>
      <c r="C20" s="74"/>
      <c r="D20" s="74"/>
      <c r="E20" s="74"/>
      <c r="G20" s="74"/>
      <c r="H20" s="74"/>
      <c r="I20" s="74"/>
      <c r="M20" s="74"/>
      <c r="O20" s="74"/>
      <c r="S20" s="72"/>
    </row>
    <row r="21" spans="2:19" ht="12.75">
      <c r="B21" s="61" t="s">
        <v>24</v>
      </c>
      <c r="C21" s="62" t="s">
        <v>47</v>
      </c>
      <c r="D21" s="62" t="s">
        <v>23</v>
      </c>
      <c r="E21" s="62" t="s">
        <v>48</v>
      </c>
      <c r="F21" s="62" t="s">
        <v>49</v>
      </c>
      <c r="G21" s="62" t="s">
        <v>50</v>
      </c>
      <c r="H21" s="62" t="s">
        <v>51</v>
      </c>
      <c r="I21" s="62" t="s">
        <v>26</v>
      </c>
      <c r="J21" s="62" t="s">
        <v>53</v>
      </c>
      <c r="K21" s="62" t="s">
        <v>54</v>
      </c>
      <c r="L21" s="62" t="s">
        <v>55</v>
      </c>
      <c r="M21" s="62" t="s">
        <v>56</v>
      </c>
      <c r="N21" s="62" t="s">
        <v>57</v>
      </c>
      <c r="O21" s="62" t="s">
        <v>58</v>
      </c>
      <c r="P21" s="62" t="s">
        <v>59</v>
      </c>
      <c r="Q21" s="63" t="s">
        <v>60</v>
      </c>
      <c r="R21" s="64" t="s">
        <v>61</v>
      </c>
      <c r="S21" s="72"/>
    </row>
    <row r="22" spans="1:19" ht="12.75">
      <c r="A22" s="164" t="s">
        <v>75</v>
      </c>
      <c r="B22" s="76">
        <f aca="true" t="shared" si="0" ref="B22:H22">B18/($B25/24)</f>
        <v>0.09910822263951055</v>
      </c>
      <c r="C22" s="135">
        <f>C18/($B25/24)</f>
        <v>0.01415831751993008</v>
      </c>
      <c r="D22" s="77">
        <f t="shared" si="0"/>
        <v>0.02831663503986016</v>
      </c>
      <c r="E22" s="77">
        <f t="shared" si="0"/>
        <v>0.01415831751993008</v>
      </c>
      <c r="F22" s="76">
        <f t="shared" si="0"/>
        <v>0</v>
      </c>
      <c r="G22" s="76">
        <f t="shared" si="0"/>
        <v>0.04247495255979024</v>
      </c>
      <c r="H22" s="76">
        <f t="shared" si="0"/>
        <v>0</v>
      </c>
      <c r="I22" s="76"/>
      <c r="J22" s="77">
        <f>J18/($B25/24)</f>
        <v>0.04247495255979024</v>
      </c>
      <c r="K22" s="77">
        <f>K18/($B25/24)</f>
        <v>0</v>
      </c>
      <c r="L22" s="76">
        <f>L18/($B25/24)</f>
        <v>0</v>
      </c>
      <c r="M22" s="77"/>
      <c r="N22" s="76">
        <f>N18/($B25/24)</f>
        <v>0.02831663503986016</v>
      </c>
      <c r="O22" s="76">
        <f>O18/($B25/24)</f>
        <v>0</v>
      </c>
      <c r="P22" s="78"/>
      <c r="Q22" s="76">
        <f>Q18/($B25/24)</f>
        <v>0</v>
      </c>
      <c r="R22" s="76">
        <f>R18/($B25/24)</f>
        <v>0</v>
      </c>
      <c r="S22" s="76">
        <f>S18/($B25/24)</f>
        <v>0.32564130295839183</v>
      </c>
    </row>
    <row r="23" spans="1:20" ht="12.75">
      <c r="A23" s="79" t="s">
        <v>64</v>
      </c>
      <c r="B23" s="80">
        <f>'[1]reliabilitySummary'!$F$7</f>
        <v>0.12</v>
      </c>
      <c r="C23" s="80">
        <f>'[1]reliabilitySummary'!$F$8</f>
        <v>0.03</v>
      </c>
      <c r="D23" s="80">
        <v>0.12</v>
      </c>
      <c r="E23" s="80">
        <v>0.05</v>
      </c>
      <c r="F23" s="80">
        <v>0.01</v>
      </c>
      <c r="G23" s="80">
        <v>0.01</v>
      </c>
      <c r="H23" s="80">
        <v>0.02</v>
      </c>
      <c r="I23" s="80">
        <v>0.06</v>
      </c>
      <c r="J23" s="80">
        <v>0.02</v>
      </c>
      <c r="K23" s="81">
        <v>0</v>
      </c>
      <c r="L23" s="81">
        <v>0.01</v>
      </c>
      <c r="M23" s="81">
        <v>0.01</v>
      </c>
      <c r="N23" s="81">
        <v>0.01</v>
      </c>
      <c r="O23" s="81">
        <v>0.01</v>
      </c>
      <c r="P23" s="81">
        <v>0.02</v>
      </c>
      <c r="Q23" s="81">
        <v>0.01</v>
      </c>
      <c r="R23" s="81">
        <v>0.02</v>
      </c>
      <c r="S23" s="81">
        <f>SUM(B23:R23)</f>
        <v>0.5300000000000001</v>
      </c>
      <c r="T23" s="82"/>
    </row>
    <row r="25" spans="1:2" ht="12.75">
      <c r="A25" s="37" t="s">
        <v>34</v>
      </c>
      <c r="B25" s="69">
        <f>'Main Data'!D63</f>
        <v>1695.1166666672216</v>
      </c>
    </row>
    <row r="26" spans="1:2" ht="12.75">
      <c r="A26" s="83" t="s">
        <v>38</v>
      </c>
      <c r="B26" s="81">
        <f>'Main Data'!D65</f>
        <v>1727.9333333334653</v>
      </c>
    </row>
    <row r="30" ht="12.75">
      <c r="A30" s="84"/>
    </row>
    <row r="36" ht="12.75">
      <c r="A36" s="85" t="s">
        <v>67</v>
      </c>
    </row>
    <row r="37" spans="1:13" ht="12.75">
      <c r="A37" s="84"/>
      <c r="B37" s="115"/>
      <c r="C37" s="116" t="s">
        <v>12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7"/>
    </row>
    <row r="38" spans="1:13" ht="12.75">
      <c r="A38" s="116" t="s">
        <v>15</v>
      </c>
      <c r="B38" s="116" t="s">
        <v>42</v>
      </c>
      <c r="C38" s="84" t="s">
        <v>23</v>
      </c>
      <c r="D38" s="118" t="s">
        <v>24</v>
      </c>
      <c r="E38" s="118" t="s">
        <v>70</v>
      </c>
      <c r="F38" s="118" t="s">
        <v>77</v>
      </c>
      <c r="G38" s="118" t="s">
        <v>25</v>
      </c>
      <c r="H38" s="118" t="s">
        <v>26</v>
      </c>
      <c r="I38" s="118" t="s">
        <v>90</v>
      </c>
      <c r="J38" s="118" t="s">
        <v>71</v>
      </c>
      <c r="K38" s="118" t="s">
        <v>72</v>
      </c>
      <c r="L38" s="118" t="s">
        <v>89</v>
      </c>
      <c r="M38" s="119" t="s">
        <v>62</v>
      </c>
    </row>
    <row r="39" spans="1:13" ht="12.75">
      <c r="A39" s="84" t="s">
        <v>17</v>
      </c>
      <c r="B39" s="84" t="s">
        <v>44</v>
      </c>
      <c r="C39" s="120">
        <v>2</v>
      </c>
      <c r="D39" s="121">
        <v>7</v>
      </c>
      <c r="E39" s="121">
        <v>3</v>
      </c>
      <c r="F39" s="121">
        <v>1</v>
      </c>
      <c r="G39" s="121">
        <v>1</v>
      </c>
      <c r="H39" s="121">
        <v>2</v>
      </c>
      <c r="I39" s="121">
        <v>2</v>
      </c>
      <c r="J39" s="121">
        <v>1</v>
      </c>
      <c r="K39" s="121">
        <v>1</v>
      </c>
      <c r="L39" s="121">
        <v>2</v>
      </c>
      <c r="M39" s="122">
        <v>22</v>
      </c>
    </row>
    <row r="40" spans="1:13" ht="12.75">
      <c r="A40" s="123"/>
      <c r="B40" s="124" t="s">
        <v>43</v>
      </c>
      <c r="C40" s="125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126">
        <v>0</v>
      </c>
    </row>
    <row r="41" spans="1:13" ht="12.75">
      <c r="A41" s="84" t="s">
        <v>69</v>
      </c>
      <c r="B41" s="84" t="s">
        <v>44</v>
      </c>
      <c r="C41" s="120"/>
      <c r="D41" s="121"/>
      <c r="E41" s="121"/>
      <c r="F41" s="121"/>
      <c r="G41" s="121">
        <v>0</v>
      </c>
      <c r="H41" s="121">
        <v>0</v>
      </c>
      <c r="I41" s="121">
        <v>0</v>
      </c>
      <c r="J41" s="121"/>
      <c r="K41" s="121"/>
      <c r="L41" s="121"/>
      <c r="M41" s="122">
        <v>0</v>
      </c>
    </row>
    <row r="42" spans="1:13" ht="12.75">
      <c r="A42" s="123"/>
      <c r="B42" s="124" t="s">
        <v>43</v>
      </c>
      <c r="C42" s="125"/>
      <c r="D42" s="74"/>
      <c r="E42" s="74"/>
      <c r="F42" s="74"/>
      <c r="G42" s="74">
        <v>1</v>
      </c>
      <c r="H42" s="74">
        <v>1</v>
      </c>
      <c r="I42" s="74">
        <v>1</v>
      </c>
      <c r="J42" s="74"/>
      <c r="K42" s="74"/>
      <c r="L42" s="74"/>
      <c r="M42" s="126">
        <v>3</v>
      </c>
    </row>
    <row r="43" spans="1:13" ht="12.75">
      <c r="A43" s="84" t="s">
        <v>103</v>
      </c>
      <c r="B43" s="84" t="s">
        <v>44</v>
      </c>
      <c r="C43" s="120"/>
      <c r="D43" s="121"/>
      <c r="E43" s="121"/>
      <c r="F43" s="121"/>
      <c r="G43" s="121"/>
      <c r="H43" s="121"/>
      <c r="I43" s="121"/>
      <c r="J43" s="121"/>
      <c r="K43" s="121"/>
      <c r="L43" s="121">
        <v>1</v>
      </c>
      <c r="M43" s="122">
        <v>1</v>
      </c>
    </row>
    <row r="44" spans="1:13" ht="12.75">
      <c r="A44" s="123"/>
      <c r="B44" s="124" t="s">
        <v>43</v>
      </c>
      <c r="C44" s="125"/>
      <c r="D44" s="74"/>
      <c r="E44" s="74"/>
      <c r="F44" s="74"/>
      <c r="G44" s="74"/>
      <c r="H44" s="74"/>
      <c r="I44" s="74"/>
      <c r="J44" s="74"/>
      <c r="K44" s="74"/>
      <c r="L44" s="74">
        <v>0</v>
      </c>
      <c r="M44" s="126">
        <v>0</v>
      </c>
    </row>
    <row r="45" spans="1:13" ht="12.75">
      <c r="A45" s="84" t="s">
        <v>46</v>
      </c>
      <c r="B45" s="115"/>
      <c r="C45" s="120">
        <v>2</v>
      </c>
      <c r="D45" s="121">
        <v>7</v>
      </c>
      <c r="E45" s="121">
        <v>3</v>
      </c>
      <c r="F45" s="121">
        <v>1</v>
      </c>
      <c r="G45" s="121">
        <v>1</v>
      </c>
      <c r="H45" s="121">
        <v>2</v>
      </c>
      <c r="I45" s="121">
        <v>2</v>
      </c>
      <c r="J45" s="121">
        <v>1</v>
      </c>
      <c r="K45" s="121">
        <v>1</v>
      </c>
      <c r="L45" s="121">
        <v>3</v>
      </c>
      <c r="M45" s="122">
        <v>23</v>
      </c>
    </row>
    <row r="46" spans="1:13" ht="12.75">
      <c r="A46" s="127" t="s">
        <v>45</v>
      </c>
      <c r="B46" s="128"/>
      <c r="C46" s="129">
        <v>0</v>
      </c>
      <c r="D46" s="130">
        <v>0</v>
      </c>
      <c r="E46" s="130">
        <v>0</v>
      </c>
      <c r="F46" s="130">
        <v>0</v>
      </c>
      <c r="G46" s="130">
        <v>1</v>
      </c>
      <c r="H46" s="130">
        <v>1</v>
      </c>
      <c r="I46" s="130">
        <v>1</v>
      </c>
      <c r="J46" s="130">
        <v>0</v>
      </c>
      <c r="K46" s="130">
        <v>0</v>
      </c>
      <c r="L46" s="130">
        <v>0</v>
      </c>
      <c r="M46" s="131">
        <v>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27">
      <selection activeCell="A27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1">
      <selection activeCell="A6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Felix</cp:lastModifiedBy>
  <cp:lastPrinted>2011-08-25T15:08:06Z</cp:lastPrinted>
  <dcterms:created xsi:type="dcterms:W3CDTF">1998-01-15T00:06:45Z</dcterms:created>
  <dcterms:modified xsi:type="dcterms:W3CDTF">2011-08-25T15:25:32Z</dcterms:modified>
  <cp:category/>
  <cp:version/>
  <cp:contentType/>
  <cp:contentStatus/>
  <cp:revision>5</cp:revision>
</cp:coreProperties>
</file>