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6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Data'!$A$2:$P$10</definedName>
    <definedName name="Excel_BuiltIn_Print_Area_1_1">'Main Data'!$A$2:$P$59</definedName>
    <definedName name="Excel_BuiltIn_Print_Area_1_1_1">'Main Data'!$A$2:$P$82</definedName>
    <definedName name="Excel_BuiltIn_Print_Area_1_1_11">'Main Data'!$A$2:$P$83</definedName>
    <definedName name="Excel_BuiltIn_Print_Area_1_1_1_1">'Main Data'!$A$2:$P$68</definedName>
    <definedName name="Excel_BuiltIn_Print_Area_41">'Faults Per Day'!$A$1:$W$67</definedName>
    <definedName name="Faults_Day_of_Delivered_Beam">'Main Data'!$D$111</definedName>
    <definedName name="Mean_Time_Between_Faults">'Main Data'!$D$110</definedName>
    <definedName name="Number_of_Fills">'Main Data'!$D$103</definedName>
    <definedName name="Number_of_Intentional_Dumps">'Main Data'!$D$102</definedName>
    <definedName name="Number_of_Lost_Fills">'Main Data'!$D$101</definedName>
    <definedName name="_xlnm.Print_Area" localSheetId="3">'Faults Per Day'!$A$1:$AC$81</definedName>
    <definedName name="_xlnm.Print_Area" localSheetId="0">'Main Data'!$A$2:$P$69</definedName>
    <definedName name="_xlnm.Print_Titles" localSheetId="0">'Main Data'!$5:$5</definedName>
    <definedName name="Refill_Time">'Main Data'!$D$1</definedName>
    <definedName name="Total_Schedule_Run_Length">'Main Data'!$D$107</definedName>
    <definedName name="Total_System_Downtime">'Main Data'!$K$103</definedName>
    <definedName name="Total_User_Beam">'Main Data'!$D$105</definedName>
    <definedName name="Total_User_Downtime">'Main Data'!$D$106</definedName>
    <definedName name="User_Beam_Days">'Main Data'!$E$105</definedName>
    <definedName name="X_ray_Availability">'Main Data'!$D$112</definedName>
  </definedNames>
  <calcPr fullCalcOnLoad="1"/>
  <pivotCaches>
    <pivotCache cacheId="7" r:id="rId5"/>
    <pivotCache cacheId="8" r:id="rId6"/>
  </pivotCaches>
</workbook>
</file>

<file path=xl/sharedStrings.xml><?xml version="1.0" encoding="utf-8"?>
<sst xmlns="http://schemas.openxmlformats.org/spreadsheetml/2006/main" count="275" uniqueCount="108">
  <si>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</si>
  <si>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</si>
  <si>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</si>
  <si>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</si>
  <si>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</si>
  <si>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</si>
  <si>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</si>
  <si>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</si>
  <si>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</si>
  <si>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</si>
  <si>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</si>
  <si>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</si>
  <si>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</si>
  <si>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</si>
  <si>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</si>
  <si>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</si>
  <si>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</si>
  <si>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</si>
  <si>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</si>
  <si>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</si>
  <si>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</si>
  <si>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 xml:space="preserve">  Int Dump: End of Period</t>
  </si>
  <si>
    <t>Scheduled</t>
  </si>
  <si>
    <t>PS</t>
  </si>
  <si>
    <t>RF</t>
  </si>
  <si>
    <t>DIA</t>
  </si>
  <si>
    <t>CTL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</si>
  <si>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</si>
  <si>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</si>
  <si>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</si>
  <si>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</si>
  <si>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</si>
  <si>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</si>
  <si>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</si>
  <si>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</si>
  <si>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</si>
  <si>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</si>
  <si>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</si>
  <si>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</si>
  <si>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</si>
  <si>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</si>
  <si>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</si>
  <si>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</si>
  <si>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</si>
  <si>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</si>
  <si>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</si>
  <si>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</si>
  <si>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</si>
  <si>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</si>
  <si>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</si>
  <si>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</si>
  <si>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</si>
  <si>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</si>
  <si>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</si>
  <si>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</si>
  <si>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</si>
  <si>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</si>
  <si>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</si>
  <si>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</si>
  <si>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</si>
  <si>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</si>
  <si>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</si>
  <si>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</si>
  <si>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</si>
  <si>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</si>
  <si>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</si>
  <si>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</si>
  <si>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</si>
  <si>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</si>
  <si>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Sum of System
Length</t>
  </si>
  <si>
    <t>Downtime for Run 2010-1</t>
  </si>
  <si>
    <t>Run 2010-1</t>
  </si>
  <si>
    <t>RF2 Kly Output Arc [RF]</t>
  </si>
  <si>
    <t>Linac PLC failure [CTL]</t>
  </si>
  <si>
    <t>Inhibits Beam to User</t>
  </si>
  <si>
    <t>SI</t>
  </si>
  <si>
    <t>14BM PSS Chain B dead [SI]</t>
  </si>
  <si>
    <t>RF4 Kly Output Arc [RF]</t>
  </si>
  <si>
    <t>CPU Software [CTL]</t>
  </si>
  <si>
    <t>PW pump brkr failed [FMS]</t>
  </si>
  <si>
    <t>FMS</t>
  </si>
  <si>
    <t>IOCS35BPM failed [CTL]</t>
  </si>
  <si>
    <t>10ID PSS Chain B fail [SI]</t>
  </si>
  <si>
    <t>Fill #14 was delivered for &lt;1 hour</t>
  </si>
  <si>
    <t>LTP BESOCM SR &lt;50mA</t>
  </si>
  <si>
    <t>OPS</t>
  </si>
  <si>
    <t>Inhibits beam to user</t>
  </si>
  <si>
    <t>Top up was started instead of a fill on fill</t>
  </si>
  <si>
    <t>Repairs prevented injection until beam dropped &lt;5omA</t>
  </si>
  <si>
    <t>S39A:Q1 tripped [PS]</t>
  </si>
  <si>
    <t>RF3 Kly Out cav Arc [RF]</t>
  </si>
  <si>
    <t>S1A:V4:PS trip [PS]</t>
  </si>
  <si>
    <t>12BM PSS trip [SI]</t>
  </si>
  <si>
    <t>RF1  Kly Out Arc [RF]</t>
  </si>
  <si>
    <t>RF4 Mod Anode Fail [RF]</t>
  </si>
  <si>
    <t>Fill #20 was delivered for &lt;1 hour</t>
  </si>
  <si>
    <t>Waveguide switch error</t>
  </si>
  <si>
    <t>Beamline taken offline</t>
  </si>
  <si>
    <t>14ID PSS trip [SI]</t>
  </si>
  <si>
    <t>Power bump/dip [OTH]</t>
  </si>
  <si>
    <t>ComEd</t>
  </si>
  <si>
    <t>S26B:Q2:PS failure [PS]</t>
  </si>
  <si>
    <t>RF4 Kly Out Arc   [RF]</t>
  </si>
  <si>
    <t>S20A:S1:PS trip [PS]</t>
  </si>
  <si>
    <t>Replaced three power supplies</t>
  </si>
  <si>
    <t>IOCRF source reboot</t>
  </si>
  <si>
    <t>RF4 Kly Out Arc [RF]</t>
  </si>
  <si>
    <t>RF IOC Comm loss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</si>
</sst>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10"/>
      <name val="Bitstream Vera Sans"/>
      <family val="0"/>
    </font>
    <font>
      <sz val="12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sz val="17.2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63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6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164" fontId="0" fillId="34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164" fontId="0" fillId="0" borderId="19" xfId="0" applyNumberFormat="1" applyFont="1" applyBorder="1" applyAlignment="1">
      <alignment wrapText="1"/>
    </xf>
    <xf numFmtId="2" fontId="0" fillId="0" borderId="19" xfId="0" applyNumberFormat="1" applyFont="1" applyFill="1" applyBorder="1" applyAlignment="1">
      <alignment horizontal="right"/>
    </xf>
    <xf numFmtId="0" fontId="4" fillId="0" borderId="19" xfId="0" applyFont="1" applyBorder="1" applyAlignment="1">
      <alignment wrapText="1"/>
    </xf>
    <xf numFmtId="0" fontId="0" fillId="0" borderId="19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6" fontId="0" fillId="0" borderId="19" xfId="0" applyNumberFormat="1" applyFont="1" applyBorder="1" applyAlignment="1">
      <alignment wrapText="1"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33" borderId="19" xfId="0" applyNumberFormat="1" applyFont="1" applyFill="1" applyBorder="1" applyAlignment="1">
      <alignment horizontal="right"/>
    </xf>
    <xf numFmtId="164" fontId="0" fillId="33" borderId="19" xfId="0" applyNumberFormat="1" applyFont="1" applyFill="1" applyBorder="1" applyAlignment="1">
      <alignment wrapText="1"/>
    </xf>
    <xf numFmtId="2" fontId="0" fillId="33" borderId="19" xfId="0" applyNumberFormat="1" applyFont="1" applyFill="1" applyBorder="1" applyAlignment="1">
      <alignment horizontal="right"/>
    </xf>
    <xf numFmtId="164" fontId="0" fillId="33" borderId="19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 wrapText="1"/>
    </xf>
    <xf numFmtId="0" fontId="0" fillId="33" borderId="19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164" fontId="0" fillId="0" borderId="31" xfId="0" applyNumberFormat="1" applyFont="1" applyFill="1" applyBorder="1" applyAlignment="1">
      <alignment/>
    </xf>
    <xf numFmtId="164" fontId="0" fillId="33" borderId="31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textRotation="90"/>
    </xf>
    <xf numFmtId="164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textRotation="90"/>
    </xf>
    <xf numFmtId="2" fontId="1" fillId="0" borderId="18" xfId="0" applyNumberFormat="1" applyFont="1" applyFill="1" applyBorder="1" applyAlignment="1">
      <alignment horizontal="center" textRotation="90" wrapText="1"/>
    </xf>
    <xf numFmtId="165" fontId="1" fillId="0" borderId="18" xfId="0" applyNumberFormat="1" applyFont="1" applyFill="1" applyBorder="1" applyAlignment="1">
      <alignment horizontal="center" textRotation="90" wrapText="1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164" fontId="0" fillId="34" borderId="32" xfId="0" applyNumberFormat="1" applyFont="1" applyFill="1" applyBorder="1" applyAlignment="1">
      <alignment horizontal="lef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 horizontal="righ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164" fontId="0" fillId="0" borderId="19" xfId="0" applyNumberFormat="1" applyBorder="1" applyAlignment="1">
      <alignment wrapText="1"/>
    </xf>
    <xf numFmtId="0" fontId="4" fillId="33" borderId="19" xfId="0" applyFont="1" applyFill="1" applyBorder="1" applyAlignment="1">
      <alignment wrapText="1"/>
    </xf>
    <xf numFmtId="166" fontId="5" fillId="33" borderId="19" xfId="0" applyNumberFormat="1" applyFont="1" applyFill="1" applyBorder="1" applyAlignment="1">
      <alignment wrapText="1"/>
    </xf>
    <xf numFmtId="166" fontId="0" fillId="33" borderId="19" xfId="0" applyNumberFormat="1" applyFont="1" applyFill="1" applyBorder="1" applyAlignment="1">
      <alignment wrapText="1"/>
    </xf>
    <xf numFmtId="164" fontId="0" fillId="0" borderId="19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64" fontId="0" fillId="36" borderId="19" xfId="0" applyNumberFormat="1" applyFont="1" applyFill="1" applyBorder="1" applyAlignment="1">
      <alignment wrapText="1"/>
    </xf>
    <xf numFmtId="166" fontId="0" fillId="36" borderId="19" xfId="0" applyNumberFormat="1" applyFont="1" applyFill="1" applyBorder="1" applyAlignment="1">
      <alignment wrapText="1"/>
    </xf>
    <xf numFmtId="2" fontId="0" fillId="36" borderId="19" xfId="0" applyNumberFormat="1" applyFont="1" applyFill="1" applyBorder="1" applyAlignment="1">
      <alignment horizontal="right"/>
    </xf>
    <xf numFmtId="0" fontId="0" fillId="36" borderId="19" xfId="0" applyNumberFormat="1" applyFont="1" applyFill="1" applyBorder="1" applyAlignment="1" applyProtection="1">
      <alignment/>
      <protection/>
    </xf>
    <xf numFmtId="0" fontId="0" fillId="36" borderId="19" xfId="0" applyNumberFormat="1" applyFont="1" applyFill="1" applyBorder="1" applyAlignment="1" applyProtection="1">
      <alignment/>
      <protection locked="0"/>
    </xf>
    <xf numFmtId="0" fontId="0" fillId="36" borderId="19" xfId="0" applyNumberFormat="1" applyFont="1" applyFill="1" applyBorder="1" applyAlignment="1" applyProtection="1">
      <alignment horizontal="left"/>
      <protection/>
    </xf>
    <xf numFmtId="164" fontId="0" fillId="36" borderId="31" xfId="0" applyNumberFormat="1" applyFont="1" applyFill="1" applyBorder="1" applyAlignment="1">
      <alignment/>
    </xf>
    <xf numFmtId="164" fontId="0" fillId="37" borderId="19" xfId="0" applyNumberFormat="1" applyFont="1" applyFill="1" applyBorder="1" applyAlignment="1">
      <alignment wrapText="1"/>
    </xf>
    <xf numFmtId="166" fontId="0" fillId="37" borderId="19" xfId="0" applyNumberFormat="1" applyFont="1" applyFill="1" applyBorder="1" applyAlignment="1">
      <alignment wrapText="1"/>
    </xf>
    <xf numFmtId="2" fontId="0" fillId="37" borderId="19" xfId="0" applyNumberFormat="1" applyFont="1" applyFill="1" applyBorder="1" applyAlignment="1">
      <alignment horizontal="right"/>
    </xf>
    <xf numFmtId="0" fontId="0" fillId="37" borderId="19" xfId="0" applyNumberFormat="1" applyFont="1" applyFill="1" applyBorder="1" applyAlignment="1" applyProtection="1">
      <alignment/>
      <protection/>
    </xf>
    <xf numFmtId="0" fontId="0" fillId="37" borderId="19" xfId="0" applyNumberFormat="1" applyFont="1" applyFill="1" applyBorder="1" applyAlignment="1" applyProtection="1">
      <alignment/>
      <protection locked="0"/>
    </xf>
    <xf numFmtId="0" fontId="0" fillId="37" borderId="19" xfId="0" applyNumberFormat="1" applyFont="1" applyFill="1" applyBorder="1" applyAlignment="1" applyProtection="1">
      <alignment horizontal="left"/>
      <protection/>
    </xf>
    <xf numFmtId="164" fontId="0" fillId="37" borderId="31" xfId="0" applyNumberFormat="1" applyFont="1" applyFill="1" applyBorder="1" applyAlignment="1">
      <alignment/>
    </xf>
    <xf numFmtId="2" fontId="0" fillId="38" borderId="19" xfId="0" applyNumberFormat="1" applyFont="1" applyFill="1" applyBorder="1" applyAlignment="1">
      <alignment horizontal="right"/>
    </xf>
    <xf numFmtId="2" fontId="0" fillId="39" borderId="19" xfId="0" applyNumberFormat="1" applyFont="1" applyFill="1" applyBorder="1" applyAlignment="1">
      <alignment horizontal="right"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2010-1 Downtime by System 
February 2 - April 28, 2010
 Scheduled User Time =  1727 hours     
User downtime= 29.42 hours</a:t>
            </a:r>
          </a:p>
        </c:rich>
      </c:tx>
      <c:layout>
        <c:manualLayout>
          <c:xMode val="factor"/>
          <c:yMode val="factor"/>
          <c:x val="-0.000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8675"/>
          <c:w val="0.95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2010-1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0.0036961976451568464</c:v>
                </c:pt>
                <c:pt idx="1">
                  <c:v>0.00019301293188890472</c:v>
                </c:pt>
                <c:pt idx="2">
                  <c:v>0.00474811812381993</c:v>
                </c:pt>
                <c:pt idx="3">
                  <c:v>0.0033005211349564846</c:v>
                </c:pt>
                <c:pt idx="4">
                  <c:v>0</c:v>
                </c:pt>
                <c:pt idx="5">
                  <c:v>0.002711831692766105</c:v>
                </c:pt>
                <c:pt idx="6">
                  <c:v>0</c:v>
                </c:pt>
                <c:pt idx="7">
                  <c:v>0</c:v>
                </c:pt>
                <c:pt idx="8">
                  <c:v>0.0007044972012832774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0.0005886894421903799</c:v>
                </c:pt>
                <c:pt idx="13">
                  <c:v>0.0010905230650610869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0.0006000000000000001</c:v>
                </c:pt>
                <c:pt idx="5">
                  <c:v>0.0006000000000000001</c:v>
                </c:pt>
                <c:pt idx="6">
                  <c:v>0.0006000000000000001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0.0018000000000000002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34566527"/>
        <c:axId val="16038224"/>
      </c:barChart>
      <c:catAx>
        <c:axId val="3456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8224"/>
        <c:crosses val="autoZero"/>
        <c:auto val="1"/>
        <c:lblOffset val="100"/>
        <c:tickLblSkip val="1"/>
        <c:noMultiLvlLbl val="0"/>
      </c:catAx>
      <c:valAx>
        <c:axId val="16038224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8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66527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85"/>
          <c:y val="0.6875"/>
          <c:w val="0.2095"/>
          <c:h val="0.0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2010-1 Faults Per Day By System</a:t>
            </a:r>
          </a:p>
        </c:rich>
      </c:tx>
      <c:layout>
        <c:manualLayout>
          <c:xMode val="factor"/>
          <c:yMode val="factor"/>
          <c:x val="0"/>
          <c:y val="-0.0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15"/>
          <c:w val="0.93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2010-1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0.127239703500062</c:v>
                </c:pt>
                <c:pt idx="1">
                  <c:v>0.014137744833340224</c:v>
                </c:pt>
                <c:pt idx="2">
                  <c:v>0.056550979333360896</c:v>
                </c:pt>
                <c:pt idx="3">
                  <c:v>0.04241323450002067</c:v>
                </c:pt>
                <c:pt idx="4">
                  <c:v>0</c:v>
                </c:pt>
                <c:pt idx="5">
                  <c:v>0.056550979333360896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0.014137744833340224</c:v>
                </c:pt>
                <c:pt idx="13">
                  <c:v>0.014137744833340224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Stats!$B$23:$R$23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47675473"/>
        <c:axId val="54396802"/>
      </c:barChart>
      <c:catAx>
        <c:axId val="47675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96802"/>
        <c:crossesAt val="0"/>
        <c:auto val="1"/>
        <c:lblOffset val="100"/>
        <c:tickLblSkip val="1"/>
        <c:noMultiLvlLbl val="0"/>
      </c:catAx>
      <c:valAx>
        <c:axId val="54396802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5473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475"/>
          <c:y val="0.977"/>
          <c:w val="0.1135"/>
          <c:h val="0.01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101</xdr:row>
      <xdr:rowOff>76200</xdr:rowOff>
    </xdr:from>
    <xdr:to>
      <xdr:col>11</xdr:col>
      <xdr:colOff>85725</xdr:colOff>
      <xdr:row>102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67775" y="17640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85725</xdr:rowOff>
    </xdr:from>
    <xdr:to>
      <xdr:col>11</xdr:col>
      <xdr:colOff>85725</xdr:colOff>
      <xdr:row>58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10525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\2008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iabilitySummary"/>
    </sheetNames>
    <sheetDataSet>
      <sheetData sheetId="0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3">
          <cell r="B13">
            <v>0.0006000000000000001</v>
          </cell>
        </row>
        <row r="14">
          <cell r="B14">
            <v>0.0006000000000000001</v>
          </cell>
        </row>
        <row r="15">
          <cell r="B15">
            <v>0.0006000000000000001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6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Blank="1" containsMixedTypes="0" count="25">
        <s v="Linac PLC failure [CTL]"/>
        <s v="RF2 Kly Output Arc [RF]"/>
        <s v="14BM PSS Chain B dead [SI]"/>
        <s v="  Int Dump: End of Period"/>
        <m/>
        <s v="CPU Software [CTL]"/>
        <s v="RF4 Kly Output Arc [RF]"/>
        <s v="PW pump brkr failed [FMS]"/>
        <s v="10ID PSS Chain B fail [SI]"/>
        <s v="IOCS35BPM failed [CTL]"/>
        <s v="LTP BESOCM SR &lt;50mA"/>
        <s v="S39A:Q1 tripped [PS]"/>
        <s v="RF3 Kly Out cav Arc [RF]"/>
        <s v="S1A:V4:PS trip [PS]"/>
        <s v="12BM PSS trip [SI]"/>
        <s v="RF4 Mod Anode Fail [RF]"/>
        <s v="RF1  Kly Out Arc [RF]"/>
        <s v="14ID PSS trip [SI]"/>
        <s v="Power bump/dip [OTH]"/>
        <s v="S26B:Q2:PS failure [PS]"/>
        <s v="RF4 Kly Out Arc   [RF]"/>
        <s v="S20A:S1:PS trip [PS]"/>
        <s v="IOCRF source reboot"/>
        <s v="RF4 Kly Out Arc [RF]"/>
        <s v="RF IOC Comm loss"/>
      </sharedItems>
    </cacheField>
    <cacheField name="DIN #">
      <sharedItems containsString="0" containsBlank="1" containsMixedTypes="0" containsNumber="1" containsInteger="1" count="24">
        <n v="105582"/>
        <n v="105583"/>
        <n v="105586"/>
        <m/>
        <n v="105589"/>
        <n v="105590"/>
        <n v="105591"/>
        <n v="105593"/>
        <n v="105594"/>
        <n v="105596"/>
        <n v="105598"/>
        <n v="105599"/>
        <n v="105601"/>
        <n v="105602"/>
        <n v="105603"/>
        <n v="105605"/>
        <n v="105606"/>
        <n v="105607"/>
        <n v="105608"/>
        <n v="105609"/>
        <n v="105610"/>
        <n v="105611"/>
        <n v="105612"/>
        <n v="105614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7">
        <d v="2010-02-02T08:00:00.000"/>
        <d v="2010-02-02T15:58:00.000"/>
        <d v="2010-02-07T01:44:00.000"/>
        <m/>
        <d v="2010-02-10T10:19:00.000"/>
        <d v="2010-02-11T21:01:00.000"/>
        <d v="2010-02-13T02:01:00.000"/>
        <d v="2010-02-16T06:07:00.000"/>
        <d v="2010-02-19T14:14:00.000"/>
        <d v="2010-02-22T22:00:00.000"/>
        <d v="2010-02-28T05:59:00.000"/>
        <d v="2010-02-28T06:19:00.000"/>
        <d v="2010-03-01T05:24:00.000"/>
        <d v="2010-03-10T16:40:00.000"/>
        <d v="2010-03-11T01:02:00.000"/>
        <d v="2010-03-11T07:15:00.000"/>
        <d v="2010-03-15T05:33:00.000"/>
        <d v="2010-03-15T07:34:00.000"/>
        <d v="2010-03-15T19:40:00.000"/>
        <d v="2010-03-20T04:19:00.000"/>
        <d v="2010-03-20T19:50:00.000"/>
        <d v="2010-03-25T17:26:00.000"/>
        <d v="2010-03-28T10:40:00.000"/>
        <d v="2010-04-01T05:48:00.000"/>
        <d v="2010-04-03T15:41:00.000"/>
        <d v="2010-04-08T01:54:00.000"/>
        <d v="2010-04-14T14:45:00.000"/>
      </sharedItems>
    </cacheField>
    <cacheField name="End2">
      <sharedItems containsDate="1" containsString="0" containsBlank="1" containsMixedTypes="0" count="27">
        <d v="2010-02-02T08:08:00.000"/>
        <d v="2010-02-02T16:23:00.000"/>
        <d v="2010-02-07T03:32:00.000"/>
        <m/>
        <d v="2010-02-10T11:55:00.000"/>
        <d v="2010-02-11T21:19:00.000"/>
        <d v="2010-02-13T02:23:00.000"/>
        <d v="2010-02-16T08:00:00.000"/>
        <d v="2010-02-19T15:03:00.000"/>
        <d v="2010-02-23T01:29:00.000"/>
        <d v="2010-02-28T06:29:00.000"/>
        <d v="2010-02-28T06:19:00.000"/>
        <d v="2010-03-01T08:00:00.000"/>
        <d v="2010-03-10T17:28:00.000"/>
        <d v="2010-03-11T02:46:00.000"/>
        <d v="2010-03-11T08:03:00.000"/>
        <d v="2010-03-15T08:37:00.000"/>
        <d v="2010-03-15T07:34:00.000"/>
        <d v="2010-03-15T19:59:00.000"/>
        <d v="2010-03-20T05:35:00.000"/>
        <d v="2010-03-20T20:51:00.000"/>
        <d v="2010-03-25T19:24:00.000"/>
        <d v="2010-03-28T11:07:00.000"/>
        <d v="2010-04-01T07:42:00.000"/>
        <d v="2010-04-03T17:01:00.000"/>
        <d v="2010-04-08T02:17:00.000"/>
        <d v="2010-04-14T15:14:00.000"/>
      </sharedItems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13">
        <s v="CTL"/>
        <s v="RF"/>
        <s v="SI"/>
        <m/>
        <s v="FMS"/>
        <s v="DIA"/>
        <s v="OPS"/>
        <s v="PS"/>
        <s v="ComEd"/>
        <s v="MOM"/>
        <s v="UNK"/>
        <s v="FMS-H2O"/>
        <s v="ESH"/>
      </sharedItems>
    </cacheField>
    <cacheField name="System">
      <sharedItems containsBlank="1" containsMixedTypes="0" count="9">
        <s v="CTL"/>
        <s v="RF"/>
        <s v="SI"/>
        <m/>
        <s v="FMS"/>
        <s v="DIA"/>
        <s v="OPS"/>
        <s v="PS"/>
        <s v="Other"/>
      </sharedItems>
    </cacheField>
    <cacheField name="Group">
      <sharedItems containsBlank="1" containsMixedTypes="0" count="9">
        <s v="CTL"/>
        <s v="RF"/>
        <s v="SI"/>
        <m/>
        <s v="FMS"/>
        <s v="DIA"/>
        <s v="OPS"/>
        <s v="PS"/>
        <s v="ComEd"/>
      </sharedItems>
    </cacheField>
    <cacheField name="Type">
      <sharedItems containsBlank="1" containsMixedTypes="0" count="4">
        <s v="Inhibits Beam to User"/>
        <s v="Store Lost"/>
        <s v="Scheduled"/>
        <m/>
      </sharedItems>
    </cacheField>
    <cacheField name="Description">
      <sharedItems containsBlank="1" containsMixedTypes="0" count="8">
        <m/>
        <s v="Repairs prevented injection until beam dropped &lt;5omA"/>
        <s v="Top up was started instead of a fill on fill"/>
        <s v="Fill #14 was delivered for &lt;1 hour"/>
        <s v="Beamline taken offline"/>
        <s v="Fill #20 was delivered for &lt;1 hour"/>
        <s v="Waveguide switch error"/>
        <s v="Replaced three power supplies"/>
      </sharedItems>
    </cacheField>
    <cacheField name="Store Lost">
      <sharedItems containsBlank="1" containsMixedTypes="1" containsNumber="1" containsInteger="1" count="3">
        <s v=""/>
        <n v="1"/>
        <m/>
      </sharedItems>
    </cacheField>
    <cacheField name="Intention. Dump">
      <sharedItems containsBlank="1" containsMixedTypes="1" containsNumber="1" containsInteger="1" count="3">
        <s v=""/>
        <n v="1"/>
        <m/>
      </sharedItems>
    </cacheField>
    <cacheField name="Inhibits Beam">
      <sharedItems containsBlank="1" containsMixedTypes="1" containsNumber="1" containsInteger="1" count="3">
        <n v="1"/>
        <s v=""/>
        <m/>
      </sharedItems>
    </cacheField>
    <cacheField name="TOTAL">
      <sharedItems containsString="0" containsBlank="1" containsMixedTypes="0" containsNumber="1" containsInteger="1" count="3">
        <n v="1"/>
        <n v="0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5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Blank="1" containsMixedTypes="0" count="25">
        <s v="Linac PLC failure [CTL]"/>
        <s v="RF2 Kly Output Arc [RF]"/>
        <s v="14BM PSS Chain B dead [SI]"/>
        <s v="  Int Dump: End of Period"/>
        <m/>
        <s v="CPU Software [CTL]"/>
        <s v="RF4 Kly Output Arc [RF]"/>
        <s v="PW pump brkr failed [FMS]"/>
        <s v="10ID PSS Chain B fail [SI]"/>
        <s v="IOCS35BPM failed [CTL]"/>
        <s v="LTP BESOCM SR &lt;50mA"/>
        <s v="S39A:Q1 tripped [PS]"/>
        <s v="RF3 Kly Out cav Arc [RF]"/>
        <s v="S1A:V4:PS trip [PS]"/>
        <s v="12BM PSS trip [SI]"/>
        <s v="RF4 Mod Anode Fail [RF]"/>
        <s v="RF1  Kly Out Arc [RF]"/>
        <s v="14ID PSS trip [SI]"/>
        <s v="Power bump/dip [OTH]"/>
        <s v="S26B:Q2:PS failure [PS]"/>
        <s v="RF4 Kly Out Arc   [RF]"/>
        <s v="S20A:S1:PS trip [PS]"/>
        <s v="IOCRF source reboot"/>
        <s v="RF4 Kly Out Arc [RF]"/>
        <s v="RF IOC Comm loss"/>
      </sharedItems>
    </cacheField>
    <cacheField name="DIN #">
      <sharedItems containsString="0" containsBlank="1" containsMixedTypes="0" containsNumber="1" containsInteger="1" count="24">
        <n v="105582"/>
        <n v="105583"/>
        <n v="105586"/>
        <m/>
        <n v="105589"/>
        <n v="105590"/>
        <n v="105591"/>
        <n v="105593"/>
        <n v="105594"/>
        <n v="105596"/>
        <n v="105598"/>
        <n v="105599"/>
        <n v="105601"/>
        <n v="105602"/>
        <n v="105603"/>
        <n v="105605"/>
        <n v="105606"/>
        <n v="105607"/>
        <n v="105608"/>
        <n v="105609"/>
        <n v="105610"/>
        <n v="105611"/>
        <n v="105612"/>
        <n v="105614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7">
        <d v="2010-02-02T08:00:00.000"/>
        <d v="2010-02-02T15:58:00.000"/>
        <d v="2010-02-07T01:44:00.000"/>
        <m/>
        <d v="2010-02-10T10:19:00.000"/>
        <d v="2010-02-11T21:01:00.000"/>
        <d v="2010-02-13T02:01:00.000"/>
        <d v="2010-02-16T06:07:00.000"/>
        <d v="2010-02-19T14:14:00.000"/>
        <d v="2010-02-22T22:00:00.000"/>
        <d v="2010-02-28T05:59:00.000"/>
        <d v="2010-02-28T06:19:00.000"/>
        <d v="2010-03-01T05:24:00.000"/>
        <d v="2010-03-10T16:40:00.000"/>
        <d v="2010-03-11T01:02:00.000"/>
        <d v="2010-03-11T07:15:00.000"/>
        <d v="2010-03-15T05:33:00.000"/>
        <d v="2010-03-15T07:34:00.000"/>
        <d v="2010-03-15T19:40:00.000"/>
        <d v="2010-03-20T04:19:00.000"/>
        <d v="2010-03-20T19:50:00.000"/>
        <d v="2010-03-25T17:26:00.000"/>
        <d v="2010-03-28T10:40:00.000"/>
        <d v="2010-04-01T05:48:00.000"/>
        <d v="2010-04-03T15:41:00.000"/>
        <d v="2010-04-08T01:54:00.000"/>
        <d v="2010-04-14T14:45:00.000"/>
      </sharedItems>
    </cacheField>
    <cacheField name="End2">
      <sharedItems containsDate="1" containsString="0" containsBlank="1" containsMixedTypes="0" count="27">
        <d v="2010-02-02T08:08:00.000"/>
        <d v="2010-02-02T16:23:00.000"/>
        <d v="2010-02-07T03:32:00.000"/>
        <m/>
        <d v="2010-02-10T11:55:00.000"/>
        <d v="2010-02-11T21:19:00.000"/>
        <d v="2010-02-13T02:23:00.000"/>
        <d v="2010-02-16T08:00:00.000"/>
        <d v="2010-02-19T15:03:00.000"/>
        <d v="2010-02-23T01:29:00.000"/>
        <d v="2010-02-28T06:29:00.000"/>
        <d v="2010-02-28T06:19:00.000"/>
        <d v="2010-03-01T08:00:00.000"/>
        <d v="2010-03-10T17:28:00.000"/>
        <d v="2010-03-11T02:46:00.000"/>
        <d v="2010-03-11T08:03:00.000"/>
        <d v="2010-03-15T08:37:00.000"/>
        <d v="2010-03-15T07:34:00.000"/>
        <d v="2010-03-15T19:59:00.000"/>
        <d v="2010-03-20T05:35:00.000"/>
        <d v="2010-03-20T20:51:00.000"/>
        <d v="2010-03-25T19:24:00.000"/>
        <d v="2010-03-28T11:07:00.000"/>
        <d v="2010-04-01T07:42:00.000"/>
        <d v="2010-04-03T17:01:00.000"/>
        <d v="2010-04-08T02:17:00.000"/>
        <d v="2010-04-14T15:14:00.000"/>
      </sharedItems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9">
        <s v="CTL"/>
        <s v="RF"/>
        <s v="SI"/>
        <m/>
        <s v="FMS"/>
        <s v="DIA"/>
        <s v="OPS"/>
        <s v="PS"/>
        <s v="ComEd"/>
      </sharedItems>
    </cacheField>
    <cacheField name="System">
      <sharedItems containsBlank="1" containsMixedTypes="0" count="9">
        <s v="CTL"/>
        <s v="RF"/>
        <s v="SI"/>
        <m/>
        <s v="FMS"/>
        <s v="DIA"/>
        <s v="OPS"/>
        <s v="PS"/>
        <s v="Other"/>
      </sharedItems>
    </cacheField>
    <cacheField name="Group">
      <sharedItems containsBlank="1" containsMixedTypes="0" count="10">
        <s v="CTL"/>
        <s v="RF"/>
        <s v="SI"/>
        <m/>
        <s v="FMS"/>
        <s v="DIA"/>
        <s v="OPS"/>
        <s v="PS"/>
        <s v="ComEd"/>
        <s v="UNK"/>
      </sharedItems>
    </cacheField>
    <cacheField name="Type">
      <sharedItems containsBlank="1" containsMixedTypes="0" count="4">
        <s v="Inhibits Beam to User"/>
        <s v="Store Lost"/>
        <s v="Scheduled"/>
        <m/>
      </sharedItems>
    </cacheField>
    <cacheField name="Description">
      <sharedItems containsBlank="1" containsMixedTypes="0" count="8">
        <m/>
        <s v="Repairs prevented injection until beam dropped &lt;5omA"/>
        <s v="Top up was started instead of a fill on fill"/>
        <s v="Fill #14 was delivered for &lt;1 hour"/>
        <s v="Beamline taken offline"/>
        <s v="Fill #20 was delivered for &lt;1 hour"/>
        <s v="Waveguide switch error"/>
        <s v="Replaced three power supplies"/>
      </sharedItems>
    </cacheField>
    <cacheField name="Store Lost">
      <sharedItems containsMixedTypes="1" containsNumber="1" containsInteger="1" count="2">
        <s v=""/>
        <n v="1"/>
      </sharedItems>
    </cacheField>
    <cacheField name="Intention. Dump">
      <sharedItems containsMixedTypes="1" containsNumber="1" containsInteger="1" count="2">
        <s v=""/>
        <n v="1"/>
      </sharedItems>
    </cacheField>
    <cacheField name="Inhibits Beam">
      <sharedItems containsMixedTypes="1" containsNumber="1" containsInteger="1" count="2">
        <n v="1"/>
        <s v=""/>
      </sharedItems>
    </cacheField>
    <cacheField name="TOTAL">
      <sharedItems containsSemiMixedTypes="0" containsString="0" containsMixedTypes="0" containsNumber="1" containsInteger="1" count="2">
        <n v="1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K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3">
        <item h="1" x="3"/>
        <item m="1" x="11"/>
        <item x="7"/>
        <item x="1"/>
        <item m="1" x="12"/>
        <item x="2"/>
        <item x="5"/>
        <item x="0"/>
        <item m="1" x="9"/>
        <item x="4"/>
        <item m="1" x="10"/>
        <item x="6"/>
        <item x="8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2"/>
        <item x="3"/>
        <item x="1"/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9">
    <i>
      <x v="2"/>
    </i>
    <i>
      <x v="3"/>
    </i>
    <i>
      <x v="5"/>
    </i>
    <i>
      <x v="6"/>
    </i>
    <i>
      <x v="7"/>
    </i>
    <i>
      <x v="9"/>
    </i>
    <i>
      <x v="11"/>
    </i>
    <i>
      <x v="12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8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1">
        <item h="1" x="3"/>
        <item x="4"/>
        <item x="7"/>
        <item x="1"/>
        <item x="0"/>
        <item m="1" x="9"/>
        <item x="5"/>
        <item x="2"/>
        <item x="6"/>
        <item x="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9"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3">
            <x v="3"/>
            <x v="4"/>
            <x v="6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9"/>
  <sheetViews>
    <sheetView tabSelected="1" zoomScale="75" zoomScaleNormal="75" zoomScalePageLayoutView="0" workbookViewId="0" topLeftCell="A1">
      <pane ySplit="5" topLeftCell="A36" activePane="bottomLeft" state="frozen"/>
      <selection pane="topLeft" activeCell="A1" sqref="A1"/>
      <selection pane="bottomLeft" activeCell="D64" sqref="D64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42187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4">
      <c r="A2" s="183" t="s">
        <v>70</v>
      </c>
      <c r="B2" s="183"/>
      <c r="C2" s="183"/>
      <c r="D2" s="183"/>
      <c r="E2" s="183"/>
      <c r="F2" s="183"/>
      <c r="G2" s="183"/>
      <c r="H2" s="183"/>
      <c r="I2" s="183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139" t="s">
        <v>3</v>
      </c>
      <c r="B5" s="140" t="s">
        <v>4</v>
      </c>
      <c r="C5" s="140" t="s">
        <v>5</v>
      </c>
      <c r="D5" s="141" t="s">
        <v>6</v>
      </c>
      <c r="E5" s="142" t="s">
        <v>7</v>
      </c>
      <c r="F5" s="139" t="s">
        <v>8</v>
      </c>
      <c r="G5" s="143" t="s">
        <v>9</v>
      </c>
      <c r="H5" s="140" t="s">
        <v>4</v>
      </c>
      <c r="I5" s="140" t="s">
        <v>5</v>
      </c>
      <c r="J5" s="144" t="s">
        <v>10</v>
      </c>
      <c r="K5" s="145" t="s">
        <v>11</v>
      </c>
      <c r="L5" s="146" t="s">
        <v>12</v>
      </c>
      <c r="M5" s="147" t="s">
        <v>13</v>
      </c>
      <c r="N5" s="147" t="s">
        <v>14</v>
      </c>
      <c r="O5" s="146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34" customFormat="1" ht="12.75">
      <c r="A6" s="96"/>
      <c r="B6" s="97"/>
      <c r="C6" s="159"/>
      <c r="D6" s="98"/>
      <c r="E6" s="99" t="s">
        <v>73</v>
      </c>
      <c r="F6" s="100">
        <v>105582</v>
      </c>
      <c r="G6" s="101"/>
      <c r="H6" s="159">
        <v>40211.333333333336</v>
      </c>
      <c r="I6" s="102">
        <v>40211.33888888889</v>
      </c>
      <c r="J6" s="98">
        <f>(I6-H6)*24</f>
        <v>0.1333333332440816</v>
      </c>
      <c r="K6" s="98">
        <f>(I6-H6)*24</f>
        <v>0.1333333332440816</v>
      </c>
      <c r="L6" s="103" t="s">
        <v>26</v>
      </c>
      <c r="M6" s="104" t="s">
        <v>26</v>
      </c>
      <c r="N6" s="104" t="s">
        <v>26</v>
      </c>
      <c r="O6" s="105" t="s">
        <v>74</v>
      </c>
      <c r="P6" s="137"/>
      <c r="Q6" s="35">
        <f aca="true" t="shared" si="0" ref="Q6:Q55">IF($O6="Store Lost",1,"")</f>
      </c>
      <c r="R6" s="35">
        <f aca="true" t="shared" si="1" ref="R6:R55">IF($O6="Scheduled",1,"")</f>
      </c>
      <c r="S6" s="35">
        <f aca="true" t="shared" si="2" ref="S6:S55">IF($O6="Inhibits beam to user",1,"")</f>
        <v>1</v>
      </c>
      <c r="T6" s="36">
        <f aca="true" t="shared" si="3" ref="T6:T19">SUM(Q6:S6)</f>
        <v>1</v>
      </c>
      <c r="U6" s="30"/>
      <c r="V6" s="30"/>
      <c r="W6" s="30"/>
    </row>
    <row r="7" spans="1:23" s="34" customFormat="1" ht="12.75">
      <c r="A7" s="106">
        <v>1</v>
      </c>
      <c r="B7" s="107">
        <v>40211.33888888889</v>
      </c>
      <c r="C7" s="107">
        <v>40211.66527777778</v>
      </c>
      <c r="D7" s="108">
        <f>(C7-B7)*24</f>
        <v>7.833333333372138</v>
      </c>
      <c r="E7" s="160" t="s">
        <v>72</v>
      </c>
      <c r="F7" s="110">
        <v>105583</v>
      </c>
      <c r="G7" s="111"/>
      <c r="H7" s="107">
        <v>40211.66527777778</v>
      </c>
      <c r="I7" s="112">
        <v>40211.68263888889</v>
      </c>
      <c r="J7" s="108">
        <f>(I7-H7)*24</f>
        <v>0.41666666662786156</v>
      </c>
      <c r="K7" s="108">
        <f>(I7-H7)*24</f>
        <v>0.41666666662786156</v>
      </c>
      <c r="L7" s="113" t="s">
        <v>24</v>
      </c>
      <c r="M7" s="114" t="s">
        <v>24</v>
      </c>
      <c r="N7" s="114" t="s">
        <v>24</v>
      </c>
      <c r="O7" s="115" t="s">
        <v>17</v>
      </c>
      <c r="P7" s="138"/>
      <c r="Q7" s="35">
        <f t="shared" si="0"/>
        <v>1</v>
      </c>
      <c r="R7" s="35">
        <f t="shared" si="1"/>
      </c>
      <c r="S7" s="35">
        <f t="shared" si="2"/>
      </c>
      <c r="T7" s="36">
        <f t="shared" si="3"/>
        <v>1</v>
      </c>
      <c r="U7" s="30"/>
      <c r="V7" s="30"/>
      <c r="W7" s="30"/>
    </row>
    <row r="8" spans="1:23" s="34" customFormat="1" ht="12.75">
      <c r="A8" s="96">
        <v>2</v>
      </c>
      <c r="B8" s="97">
        <v>40211.68263888889</v>
      </c>
      <c r="C8" s="159">
        <v>40216.072222222225</v>
      </c>
      <c r="D8" s="98">
        <f>(C8-B8)*24</f>
        <v>105.35000000009313</v>
      </c>
      <c r="E8" s="99" t="s">
        <v>76</v>
      </c>
      <c r="F8" s="100">
        <v>105586</v>
      </c>
      <c r="G8" s="101"/>
      <c r="H8" s="159">
        <v>40216.072222222225</v>
      </c>
      <c r="I8" s="102">
        <v>40216.14722222222</v>
      </c>
      <c r="J8" s="98">
        <f>(I8-H8)*24</f>
        <v>1.7999999999301508</v>
      </c>
      <c r="K8" s="98">
        <f>(I8-H8)*24</f>
        <v>1.7999999999301508</v>
      </c>
      <c r="L8" s="103" t="s">
        <v>75</v>
      </c>
      <c r="M8" s="104" t="s">
        <v>75</v>
      </c>
      <c r="N8" s="104" t="s">
        <v>75</v>
      </c>
      <c r="O8" s="105" t="s">
        <v>17</v>
      </c>
      <c r="P8" s="137"/>
      <c r="Q8" s="35">
        <f t="shared" si="0"/>
        <v>1</v>
      </c>
      <c r="R8" s="35">
        <f t="shared" si="1"/>
      </c>
      <c r="S8" s="35">
        <f t="shared" si="2"/>
      </c>
      <c r="T8" s="36">
        <f t="shared" si="3"/>
        <v>1</v>
      </c>
      <c r="U8" s="30"/>
      <c r="V8" s="30"/>
      <c r="W8" s="30"/>
    </row>
    <row r="9" spans="1:23" s="34" customFormat="1" ht="15">
      <c r="A9" s="106">
        <v>3</v>
      </c>
      <c r="B9" s="107">
        <v>40216.14722222222</v>
      </c>
      <c r="C9" s="107">
        <v>40218.333333333336</v>
      </c>
      <c r="D9" s="108">
        <f>(C9-B9)*24</f>
        <v>52.466666666732635</v>
      </c>
      <c r="E9" s="109" t="s">
        <v>21</v>
      </c>
      <c r="F9" s="110"/>
      <c r="G9" s="111"/>
      <c r="H9" s="161"/>
      <c r="I9" s="161"/>
      <c r="J9" s="108">
        <f>(I9-H9)*24</f>
        <v>0</v>
      </c>
      <c r="K9" s="108">
        <f>(I9-H9)*24</f>
        <v>0</v>
      </c>
      <c r="L9" s="113"/>
      <c r="M9" s="114"/>
      <c r="N9" s="114"/>
      <c r="O9" s="115" t="s">
        <v>22</v>
      </c>
      <c r="P9" s="138"/>
      <c r="Q9" s="35">
        <f t="shared" si="0"/>
      </c>
      <c r="R9" s="35">
        <f t="shared" si="1"/>
        <v>1</v>
      </c>
      <c r="S9" s="35">
        <f t="shared" si="2"/>
      </c>
      <c r="T9" s="36">
        <f t="shared" si="3"/>
        <v>1</v>
      </c>
      <c r="U9" s="30"/>
      <c r="V9" s="30"/>
      <c r="W9" s="30"/>
    </row>
    <row r="10" spans="1:23" s="34" customFormat="1" ht="12.75">
      <c r="A10" s="148"/>
      <c r="B10" s="149"/>
      <c r="C10" s="149"/>
      <c r="D10" s="150">
        <f>SUM(D6:D9)</f>
        <v>165.6500000001979</v>
      </c>
      <c r="E10" s="151"/>
      <c r="F10" s="152"/>
      <c r="G10" s="153"/>
      <c r="H10" s="154"/>
      <c r="I10" s="154"/>
      <c r="J10" s="155">
        <f>SUM(J6:J9)</f>
        <v>2.349999999802094</v>
      </c>
      <c r="K10" s="155">
        <f>SUM(K6:K9)</f>
        <v>2.349999999802094</v>
      </c>
      <c r="L10" s="156"/>
      <c r="M10" s="157"/>
      <c r="N10" s="157"/>
      <c r="O10" s="158"/>
      <c r="P10" s="95"/>
      <c r="Q10" s="35">
        <f t="shared" si="0"/>
      </c>
      <c r="R10" s="35">
        <f t="shared" si="1"/>
      </c>
      <c r="S10" s="35">
        <f t="shared" si="2"/>
      </c>
      <c r="T10" s="36">
        <f t="shared" si="3"/>
        <v>0</v>
      </c>
      <c r="U10" s="30"/>
      <c r="V10" s="30"/>
      <c r="W10" s="30"/>
    </row>
    <row r="11" spans="1:23" s="34" customFormat="1" ht="12.75">
      <c r="A11" s="96">
        <v>4</v>
      </c>
      <c r="B11" s="97">
        <v>40219.333333333336</v>
      </c>
      <c r="C11" s="159">
        <v>40219.42986111111</v>
      </c>
      <c r="D11" s="98">
        <f>(C11-B11)*24</f>
        <v>2.3166666665347293</v>
      </c>
      <c r="E11" s="99" t="s">
        <v>78</v>
      </c>
      <c r="F11" s="100">
        <v>105589</v>
      </c>
      <c r="G11" s="101"/>
      <c r="H11" s="159">
        <v>40219.42986111111</v>
      </c>
      <c r="I11" s="102">
        <v>40219.49652777778</v>
      </c>
      <c r="J11" s="98">
        <f>(I11-H11)*24</f>
        <v>1.60000000015134</v>
      </c>
      <c r="K11" s="98">
        <f>(I11-H11)*24</f>
        <v>1.60000000015134</v>
      </c>
      <c r="L11" s="103" t="s">
        <v>26</v>
      </c>
      <c r="M11" s="104" t="s">
        <v>26</v>
      </c>
      <c r="N11" s="104" t="s">
        <v>26</v>
      </c>
      <c r="O11" s="105" t="s">
        <v>17</v>
      </c>
      <c r="P11" s="137"/>
      <c r="Q11" s="35">
        <f t="shared" si="0"/>
        <v>1</v>
      </c>
      <c r="R11" s="35">
        <f t="shared" si="1"/>
      </c>
      <c r="S11" s="35">
        <f t="shared" si="2"/>
      </c>
      <c r="T11" s="36">
        <f t="shared" si="3"/>
        <v>1</v>
      </c>
      <c r="U11" s="30"/>
      <c r="V11" s="30"/>
      <c r="W11" s="30"/>
    </row>
    <row r="12" spans="1:23" s="34" customFormat="1" ht="12.75">
      <c r="A12" s="106">
        <v>6</v>
      </c>
      <c r="B12" s="107">
        <v>40219.49652777778</v>
      </c>
      <c r="C12" s="107">
        <v>40220.87569444445</v>
      </c>
      <c r="D12" s="108">
        <f>(C12-B12)*24</f>
        <v>33.09999999997672</v>
      </c>
      <c r="E12" s="160" t="s">
        <v>72</v>
      </c>
      <c r="F12" s="110">
        <v>105590</v>
      </c>
      <c r="G12" s="111"/>
      <c r="H12" s="107">
        <v>40220.87569444445</v>
      </c>
      <c r="I12" s="112">
        <v>40220.888194444444</v>
      </c>
      <c r="J12" s="108">
        <f>(I12-H12)*24</f>
        <v>0.2999999999301508</v>
      </c>
      <c r="K12" s="108">
        <f>(I12-H12)*24</f>
        <v>0.2999999999301508</v>
      </c>
      <c r="L12" s="113" t="s">
        <v>24</v>
      </c>
      <c r="M12" s="114" t="s">
        <v>24</v>
      </c>
      <c r="N12" s="114" t="s">
        <v>24</v>
      </c>
      <c r="O12" s="115" t="s">
        <v>17</v>
      </c>
      <c r="P12" s="138"/>
      <c r="Q12" s="35">
        <f t="shared" si="0"/>
        <v>1</v>
      </c>
      <c r="R12" s="35">
        <f t="shared" si="1"/>
      </c>
      <c r="S12" s="35">
        <f t="shared" si="2"/>
      </c>
      <c r="T12" s="36">
        <f t="shared" si="3"/>
        <v>1</v>
      </c>
      <c r="U12" s="30"/>
      <c r="V12" s="30"/>
      <c r="W12" s="30"/>
    </row>
    <row r="13" spans="1:23" s="34" customFormat="1" ht="12.75">
      <c r="A13" s="96">
        <v>7</v>
      </c>
      <c r="B13" s="97">
        <v>40220.888194444444</v>
      </c>
      <c r="C13" s="159">
        <v>40222.084027777775</v>
      </c>
      <c r="D13" s="98">
        <f>(C13-B13)*24</f>
        <v>28.699999999953434</v>
      </c>
      <c r="E13" s="99" t="s">
        <v>77</v>
      </c>
      <c r="F13" s="100">
        <v>105591</v>
      </c>
      <c r="G13" s="101"/>
      <c r="H13" s="159">
        <v>40222.084027777775</v>
      </c>
      <c r="I13" s="102">
        <v>40222.09930555556</v>
      </c>
      <c r="J13" s="98">
        <f>(I13-H13)*24</f>
        <v>0.3666666668141261</v>
      </c>
      <c r="K13" s="98">
        <f>(I13-H13)*24</f>
        <v>0.3666666668141261</v>
      </c>
      <c r="L13" s="103" t="s">
        <v>24</v>
      </c>
      <c r="M13" s="104" t="s">
        <v>24</v>
      </c>
      <c r="N13" s="104" t="s">
        <v>24</v>
      </c>
      <c r="O13" s="105" t="s">
        <v>17</v>
      </c>
      <c r="P13" s="137"/>
      <c r="Q13" s="35">
        <f t="shared" si="0"/>
        <v>1</v>
      </c>
      <c r="R13" s="35">
        <f t="shared" si="1"/>
      </c>
      <c r="S13" s="35">
        <f t="shared" si="2"/>
      </c>
      <c r="T13" s="36">
        <f t="shared" si="3"/>
        <v>1</v>
      </c>
      <c r="U13" s="30"/>
      <c r="V13" s="30"/>
      <c r="W13" s="30"/>
    </row>
    <row r="14" spans="1:23" s="34" customFormat="1" ht="12.75">
      <c r="A14" s="106">
        <v>8</v>
      </c>
      <c r="B14" s="107">
        <v>40222.09930555556</v>
      </c>
      <c r="C14" s="107">
        <v>40225.25486111111</v>
      </c>
      <c r="D14" s="108">
        <f>(C14-B14)*24</f>
        <v>75.733333333279</v>
      </c>
      <c r="E14" s="109" t="s">
        <v>79</v>
      </c>
      <c r="F14" s="110">
        <v>105593</v>
      </c>
      <c r="G14" s="111"/>
      <c r="H14" s="107">
        <v>40225.25486111111</v>
      </c>
      <c r="I14" s="162">
        <v>40225.333333333336</v>
      </c>
      <c r="J14" s="108">
        <f>(I14-H14)*24</f>
        <v>1.883333333360497</v>
      </c>
      <c r="K14" s="108">
        <f>(I14-H14)*24</f>
        <v>1.883333333360497</v>
      </c>
      <c r="L14" s="113" t="s">
        <v>80</v>
      </c>
      <c r="M14" s="114" t="s">
        <v>80</v>
      </c>
      <c r="N14" s="114" t="s">
        <v>80</v>
      </c>
      <c r="O14" s="115" t="s">
        <v>17</v>
      </c>
      <c r="P14" s="138"/>
      <c r="Q14" s="35">
        <f t="shared" si="0"/>
        <v>1</v>
      </c>
      <c r="R14" s="35">
        <f t="shared" si="1"/>
      </c>
      <c r="S14" s="35">
        <f t="shared" si="2"/>
      </c>
      <c r="T14" s="36">
        <f t="shared" si="3"/>
        <v>1</v>
      </c>
      <c r="U14" s="30"/>
      <c r="V14" s="30"/>
      <c r="W14" s="30"/>
    </row>
    <row r="15" spans="1:23" s="34" customFormat="1" ht="12.75">
      <c r="A15" s="148"/>
      <c r="B15" s="149"/>
      <c r="C15" s="149"/>
      <c r="D15" s="150">
        <f>SUM(D11:D14)</f>
        <v>139.8499999997439</v>
      </c>
      <c r="E15" s="151"/>
      <c r="F15" s="152"/>
      <c r="G15" s="153"/>
      <c r="H15" s="154"/>
      <c r="I15" s="154"/>
      <c r="J15" s="155">
        <f>SUM(J11:J14)</f>
        <v>4.150000000256114</v>
      </c>
      <c r="K15" s="155">
        <f>SUM(K11:K14)</f>
        <v>4.150000000256114</v>
      </c>
      <c r="L15" s="156"/>
      <c r="M15" s="157"/>
      <c r="N15" s="157"/>
      <c r="O15" s="158"/>
      <c r="P15" s="95"/>
      <c r="Q15" s="35">
        <f t="shared" si="0"/>
      </c>
      <c r="R15" s="35">
        <f t="shared" si="1"/>
      </c>
      <c r="S15" s="35">
        <f t="shared" si="2"/>
      </c>
      <c r="T15" s="36">
        <f t="shared" si="3"/>
        <v>0</v>
      </c>
      <c r="U15" s="30"/>
      <c r="V15" s="30"/>
      <c r="W15" s="30"/>
    </row>
    <row r="16" spans="1:23" s="34" customFormat="1" ht="12.75">
      <c r="A16" s="106">
        <v>9</v>
      </c>
      <c r="B16" s="107">
        <v>40226.333333333336</v>
      </c>
      <c r="C16" s="107">
        <v>40228.59305555555</v>
      </c>
      <c r="D16" s="108">
        <f>(C16-B16)*24</f>
        <v>54.2333333332208</v>
      </c>
      <c r="E16" s="160" t="s">
        <v>82</v>
      </c>
      <c r="F16" s="110">
        <v>105594</v>
      </c>
      <c r="G16" s="111"/>
      <c r="H16" s="107">
        <v>40228.59305555555</v>
      </c>
      <c r="I16" s="112">
        <v>40228.62708333333</v>
      </c>
      <c r="J16" s="108">
        <f>(I16-H16)*24</f>
        <v>0.8166666667093523</v>
      </c>
      <c r="K16" s="108">
        <f>(I16-H16)*24</f>
        <v>0.8166666667093523</v>
      </c>
      <c r="L16" s="113" t="s">
        <v>75</v>
      </c>
      <c r="M16" s="114" t="s">
        <v>75</v>
      </c>
      <c r="N16" s="114" t="s">
        <v>75</v>
      </c>
      <c r="O16" s="115" t="s">
        <v>17</v>
      </c>
      <c r="P16" s="138"/>
      <c r="Q16" s="35">
        <f t="shared" si="0"/>
        <v>1</v>
      </c>
      <c r="R16" s="35">
        <f t="shared" si="1"/>
      </c>
      <c r="S16" s="35">
        <f t="shared" si="2"/>
      </c>
      <c r="T16" s="36">
        <f t="shared" si="3"/>
        <v>1</v>
      </c>
      <c r="U16" s="30"/>
      <c r="V16" s="30"/>
      <c r="W16" s="30"/>
    </row>
    <row r="17" spans="1:23" s="34" customFormat="1" ht="12.75">
      <c r="A17" s="96">
        <v>10</v>
      </c>
      <c r="B17" s="97">
        <v>40228.62708333333</v>
      </c>
      <c r="C17" s="159">
        <v>40231.916666666664</v>
      </c>
      <c r="D17" s="98">
        <f>(C17-B17)*24</f>
        <v>78.94999999995343</v>
      </c>
      <c r="E17" s="99" t="s">
        <v>81</v>
      </c>
      <c r="F17" s="100">
        <v>105596</v>
      </c>
      <c r="G17" s="101"/>
      <c r="H17" s="159">
        <v>40231.916666666664</v>
      </c>
      <c r="I17" s="102">
        <v>40232.06180555555</v>
      </c>
      <c r="J17" s="98">
        <f>(I17-H17)*24</f>
        <v>3.483333333337214</v>
      </c>
      <c r="K17" s="98">
        <f>(I17-H17)*24</f>
        <v>3.483333333337214</v>
      </c>
      <c r="L17" s="103" t="s">
        <v>26</v>
      </c>
      <c r="M17" s="104" t="s">
        <v>26</v>
      </c>
      <c r="N17" s="104" t="s">
        <v>26</v>
      </c>
      <c r="O17" s="105" t="s">
        <v>17</v>
      </c>
      <c r="P17" s="137"/>
      <c r="Q17" s="35">
        <f t="shared" si="0"/>
        <v>1</v>
      </c>
      <c r="R17" s="35">
        <f t="shared" si="1"/>
      </c>
      <c r="S17" s="35">
        <f t="shared" si="2"/>
      </c>
      <c r="T17" s="36">
        <f t="shared" si="3"/>
        <v>1</v>
      </c>
      <c r="U17" s="30"/>
      <c r="V17" s="30"/>
      <c r="W17" s="30"/>
    </row>
    <row r="18" spans="1:23" s="34" customFormat="1" ht="15">
      <c r="A18" s="106">
        <v>11</v>
      </c>
      <c r="B18" s="107">
        <v>40232.06180555555</v>
      </c>
      <c r="C18" s="107">
        <v>40232.333333333336</v>
      </c>
      <c r="D18" s="108">
        <f>(C18-B18)*24</f>
        <v>6.5166666667792015</v>
      </c>
      <c r="E18" s="109" t="s">
        <v>21</v>
      </c>
      <c r="F18" s="110"/>
      <c r="G18" s="111"/>
      <c r="H18" s="161"/>
      <c r="I18" s="161"/>
      <c r="J18" s="108">
        <f>(I18-H18)*24</f>
        <v>0</v>
      </c>
      <c r="K18" s="108">
        <f>(I18-H18)*24</f>
        <v>0</v>
      </c>
      <c r="L18" s="113"/>
      <c r="M18" s="114"/>
      <c r="N18" s="114"/>
      <c r="O18" s="115" t="s">
        <v>22</v>
      </c>
      <c r="P18" s="138"/>
      <c r="Q18" s="35">
        <f t="shared" si="0"/>
      </c>
      <c r="R18" s="35">
        <f t="shared" si="1"/>
        <v>1</v>
      </c>
      <c r="S18" s="35">
        <f t="shared" si="2"/>
      </c>
      <c r="T18" s="36">
        <f t="shared" si="3"/>
        <v>1</v>
      </c>
      <c r="U18" s="30"/>
      <c r="V18" s="30"/>
      <c r="W18" s="30"/>
    </row>
    <row r="19" spans="1:23" s="34" customFormat="1" ht="12.75">
      <c r="A19" s="148"/>
      <c r="B19" s="149"/>
      <c r="C19" s="149"/>
      <c r="D19" s="150">
        <f>SUM(D16:D18)</f>
        <v>139.69999999995343</v>
      </c>
      <c r="E19" s="151"/>
      <c r="F19" s="152"/>
      <c r="G19" s="153"/>
      <c r="H19" s="154"/>
      <c r="I19" s="154"/>
      <c r="J19" s="155">
        <f>SUM(J16:J18)</f>
        <v>4.300000000046566</v>
      </c>
      <c r="K19" s="155">
        <f>SUM(K16:K18)</f>
        <v>4.300000000046566</v>
      </c>
      <c r="L19" s="156"/>
      <c r="M19" s="157"/>
      <c r="N19" s="157"/>
      <c r="O19" s="158"/>
      <c r="P19" s="95"/>
      <c r="Q19" s="35">
        <f t="shared" si="0"/>
      </c>
      <c r="R19" s="35">
        <f t="shared" si="1"/>
      </c>
      <c r="S19" s="35">
        <f t="shared" si="2"/>
      </c>
      <c r="T19" s="36">
        <f t="shared" si="3"/>
        <v>0</v>
      </c>
      <c r="U19" s="30"/>
      <c r="V19" s="30"/>
      <c r="W19" s="30"/>
    </row>
    <row r="20" spans="1:23" s="34" customFormat="1" ht="12.75">
      <c r="A20" s="106">
        <v>12</v>
      </c>
      <c r="B20" s="107">
        <v>40233.333333333336</v>
      </c>
      <c r="C20" s="107">
        <v>40237.24930555555</v>
      </c>
      <c r="D20" s="108">
        <f>(C20-B20)*24</f>
        <v>93.9833333332208</v>
      </c>
      <c r="E20" s="160" t="s">
        <v>84</v>
      </c>
      <c r="F20" s="110">
        <v>105598</v>
      </c>
      <c r="G20" s="111"/>
      <c r="H20" s="107">
        <v>40237.24930555555</v>
      </c>
      <c r="I20" s="112">
        <v>40237.27013888889</v>
      </c>
      <c r="J20" s="108">
        <f>(I20-H20)*24</f>
        <v>0.5000000000582077</v>
      </c>
      <c r="K20" s="108"/>
      <c r="L20" s="113"/>
      <c r="M20" s="114"/>
      <c r="N20" s="114"/>
      <c r="O20" s="115"/>
      <c r="P20" s="138"/>
      <c r="Q20" s="35">
        <f t="shared" si="0"/>
      </c>
      <c r="R20" s="35">
        <f t="shared" si="1"/>
      </c>
      <c r="S20" s="35">
        <f t="shared" si="2"/>
      </c>
      <c r="T20" s="36">
        <f aca="true" t="shared" si="4" ref="T20:T39">SUM(Q20:S20)</f>
        <v>0</v>
      </c>
      <c r="U20" s="30"/>
      <c r="V20" s="30"/>
      <c r="W20" s="30"/>
    </row>
    <row r="21" spans="1:23" s="34" customFormat="1" ht="12.75">
      <c r="A21" s="96"/>
      <c r="B21" s="163"/>
      <c r="C21" s="163"/>
      <c r="D21" s="98"/>
      <c r="E21" s="164"/>
      <c r="F21" s="100"/>
      <c r="G21" s="101"/>
      <c r="H21" s="165">
        <v>40237.24930555555</v>
      </c>
      <c r="I21" s="166">
        <v>40237.263194444444</v>
      </c>
      <c r="J21" s="167"/>
      <c r="K21" s="180">
        <f>(I21-H21)*24</f>
        <v>0.33333333337213844</v>
      </c>
      <c r="L21" s="168" t="s">
        <v>25</v>
      </c>
      <c r="M21" s="169" t="s">
        <v>25</v>
      </c>
      <c r="N21" s="169" t="s">
        <v>25</v>
      </c>
      <c r="O21" s="170" t="s">
        <v>17</v>
      </c>
      <c r="P21" s="171" t="s">
        <v>88</v>
      </c>
      <c r="Q21" s="35">
        <f t="shared" si="0"/>
        <v>1</v>
      </c>
      <c r="R21" s="35">
        <f t="shared" si="1"/>
      </c>
      <c r="S21" s="35">
        <f t="shared" si="2"/>
      </c>
      <c r="T21" s="36">
        <f t="shared" si="4"/>
        <v>1</v>
      </c>
      <c r="U21" s="30"/>
      <c r="V21" s="30"/>
      <c r="W21" s="30"/>
    </row>
    <row r="22" spans="1:23" s="34" customFormat="1" ht="12.75">
      <c r="A22" s="96"/>
      <c r="B22" s="163"/>
      <c r="C22" s="163"/>
      <c r="D22" s="98"/>
      <c r="E22" s="164"/>
      <c r="F22" s="100"/>
      <c r="G22" s="101"/>
      <c r="H22" s="172">
        <v>40237.263194444444</v>
      </c>
      <c r="I22" s="173">
        <v>40237.27013888889</v>
      </c>
      <c r="J22" s="174"/>
      <c r="K22" s="179">
        <f>(I22-H22)*24</f>
        <v>0.16666666668606922</v>
      </c>
      <c r="L22" s="175" t="s">
        <v>85</v>
      </c>
      <c r="M22" s="176" t="s">
        <v>85</v>
      </c>
      <c r="N22" s="176" t="s">
        <v>85</v>
      </c>
      <c r="O22" s="177" t="s">
        <v>86</v>
      </c>
      <c r="P22" s="178" t="s">
        <v>87</v>
      </c>
      <c r="Q22" s="35">
        <f t="shared" si="0"/>
      </c>
      <c r="R22" s="35">
        <f t="shared" si="1"/>
      </c>
      <c r="S22" s="35">
        <f t="shared" si="2"/>
        <v>1</v>
      </c>
      <c r="T22" s="36">
        <f t="shared" si="4"/>
        <v>1</v>
      </c>
      <c r="U22" s="30"/>
      <c r="V22" s="30"/>
      <c r="W22" s="30"/>
    </row>
    <row r="23" spans="1:23" s="34" customFormat="1" ht="12.75">
      <c r="A23" s="96">
        <v>13</v>
      </c>
      <c r="B23" s="97">
        <v>40237.27013888889</v>
      </c>
      <c r="C23" s="159">
        <v>40238.225</v>
      </c>
      <c r="D23" s="98">
        <f>(C23-B23)*24</f>
        <v>22.91666666662786</v>
      </c>
      <c r="E23" s="99" t="s">
        <v>89</v>
      </c>
      <c r="F23" s="100">
        <v>105599</v>
      </c>
      <c r="G23" s="101"/>
      <c r="H23" s="159">
        <v>40238.225</v>
      </c>
      <c r="I23" s="102">
        <v>40238.333333333336</v>
      </c>
      <c r="J23" s="98">
        <f>(I23-H23)*24</f>
        <v>2.6000000000931323</v>
      </c>
      <c r="K23" s="98">
        <f>(I23-H23)*24</f>
        <v>2.6000000000931323</v>
      </c>
      <c r="L23" s="103" t="s">
        <v>23</v>
      </c>
      <c r="M23" s="104" t="s">
        <v>23</v>
      </c>
      <c r="N23" s="104" t="s">
        <v>23</v>
      </c>
      <c r="O23" s="105" t="s">
        <v>17</v>
      </c>
      <c r="P23" s="137" t="s">
        <v>83</v>
      </c>
      <c r="Q23" s="35">
        <f t="shared" si="0"/>
        <v>1</v>
      </c>
      <c r="R23" s="35">
        <f t="shared" si="1"/>
      </c>
      <c r="S23" s="35">
        <f t="shared" si="2"/>
      </c>
      <c r="T23" s="36">
        <f t="shared" si="4"/>
        <v>1</v>
      </c>
      <c r="U23" s="30"/>
      <c r="V23" s="30"/>
      <c r="W23" s="30"/>
    </row>
    <row r="24" spans="1:23" s="34" customFormat="1" ht="12.75">
      <c r="A24" s="148"/>
      <c r="B24" s="149"/>
      <c r="C24" s="149"/>
      <c r="D24" s="150">
        <f>SUM(D20:D23)</f>
        <v>116.89999999984866</v>
      </c>
      <c r="E24" s="151"/>
      <c r="F24" s="152"/>
      <c r="G24" s="153"/>
      <c r="H24" s="154"/>
      <c r="I24" s="154"/>
      <c r="J24" s="155">
        <f>SUM(J20:J23)</f>
        <v>3.10000000015134</v>
      </c>
      <c r="K24" s="155">
        <f>SUM(K20:K23)</f>
        <v>3.10000000015134</v>
      </c>
      <c r="L24" s="156"/>
      <c r="M24" s="157"/>
      <c r="N24" s="157"/>
      <c r="O24" s="158"/>
      <c r="P24" s="95"/>
      <c r="Q24" s="35">
        <f t="shared" si="0"/>
      </c>
      <c r="R24" s="35">
        <f t="shared" si="1"/>
      </c>
      <c r="S24" s="35">
        <f t="shared" si="2"/>
      </c>
      <c r="T24" s="36">
        <f t="shared" si="4"/>
        <v>0</v>
      </c>
      <c r="U24" s="30"/>
      <c r="V24" s="30"/>
      <c r="W24" s="30"/>
    </row>
    <row r="25" spans="1:23" s="34" customFormat="1" ht="15">
      <c r="A25" s="106">
        <v>15</v>
      </c>
      <c r="B25" s="107">
        <v>40240.333333333336</v>
      </c>
      <c r="C25" s="107">
        <v>40246.333333333336</v>
      </c>
      <c r="D25" s="108">
        <f>(C25-B25)*24</f>
        <v>144</v>
      </c>
      <c r="E25" s="109" t="s">
        <v>21</v>
      </c>
      <c r="F25" s="110"/>
      <c r="G25" s="111"/>
      <c r="H25" s="161"/>
      <c r="I25" s="161"/>
      <c r="J25" s="108">
        <f>(I25-H25)*24</f>
        <v>0</v>
      </c>
      <c r="K25" s="108">
        <f>(I25-H25)*24</f>
        <v>0</v>
      </c>
      <c r="L25" s="113"/>
      <c r="M25" s="114"/>
      <c r="N25" s="114"/>
      <c r="O25" s="115" t="s">
        <v>22</v>
      </c>
      <c r="P25" s="138"/>
      <c r="Q25" s="35">
        <f t="shared" si="0"/>
      </c>
      <c r="R25" s="35">
        <f t="shared" si="1"/>
        <v>1</v>
      </c>
      <c r="S25" s="35">
        <f t="shared" si="2"/>
      </c>
      <c r="T25" s="36">
        <f t="shared" si="4"/>
        <v>1</v>
      </c>
      <c r="U25" s="30"/>
      <c r="V25" s="30"/>
      <c r="W25" s="30"/>
    </row>
    <row r="26" spans="1:23" s="34" customFormat="1" ht="12.75">
      <c r="A26" s="148"/>
      <c r="B26" s="149"/>
      <c r="C26" s="149"/>
      <c r="D26" s="150">
        <f>SUM(D25:D25)</f>
        <v>144</v>
      </c>
      <c r="E26" s="151"/>
      <c r="F26" s="152"/>
      <c r="G26" s="153"/>
      <c r="H26" s="154"/>
      <c r="I26" s="154"/>
      <c r="J26" s="155">
        <f>SUM(J25:J25)</f>
        <v>0</v>
      </c>
      <c r="K26" s="155">
        <f>SUM(K25:K25)</f>
        <v>0</v>
      </c>
      <c r="L26" s="156"/>
      <c r="M26" s="157"/>
      <c r="N26" s="157"/>
      <c r="O26" s="158"/>
      <c r="P26" s="95"/>
      <c r="Q26" s="35">
        <f t="shared" si="0"/>
      </c>
      <c r="R26" s="35">
        <f t="shared" si="1"/>
      </c>
      <c r="S26" s="35">
        <f t="shared" si="2"/>
      </c>
      <c r="T26" s="36">
        <f t="shared" si="4"/>
        <v>0</v>
      </c>
      <c r="U26" s="30"/>
      <c r="V26" s="30"/>
      <c r="W26" s="30"/>
    </row>
    <row r="27" spans="1:23" s="34" customFormat="1" ht="12.75">
      <c r="A27" s="96">
        <v>16</v>
      </c>
      <c r="B27" s="97">
        <v>40247.333333333336</v>
      </c>
      <c r="C27" s="159">
        <v>40247.694444444445</v>
      </c>
      <c r="D27" s="98">
        <f>(C27-B27)*24</f>
        <v>8.666666666627862</v>
      </c>
      <c r="E27" s="99" t="s">
        <v>90</v>
      </c>
      <c r="F27" s="100">
        <v>105601</v>
      </c>
      <c r="G27" s="101"/>
      <c r="H27" s="159">
        <v>40247.694444444445</v>
      </c>
      <c r="I27" s="102">
        <v>40247.72777777778</v>
      </c>
      <c r="J27" s="98">
        <f>(I27-H27)*24</f>
        <v>0.7999999999883585</v>
      </c>
      <c r="K27" s="98">
        <f>(I27-H27)*24</f>
        <v>0.7999999999883585</v>
      </c>
      <c r="L27" s="103" t="s">
        <v>24</v>
      </c>
      <c r="M27" s="104" t="s">
        <v>24</v>
      </c>
      <c r="N27" s="104" t="s">
        <v>24</v>
      </c>
      <c r="O27" s="105" t="s">
        <v>17</v>
      </c>
      <c r="P27" s="137"/>
      <c r="Q27" s="35">
        <f t="shared" si="0"/>
        <v>1</v>
      </c>
      <c r="R27" s="35">
        <f t="shared" si="1"/>
      </c>
      <c r="S27" s="35">
        <f t="shared" si="2"/>
      </c>
      <c r="T27" s="36">
        <f t="shared" si="4"/>
        <v>1</v>
      </c>
      <c r="U27" s="30"/>
      <c r="V27" s="30"/>
      <c r="W27" s="30"/>
    </row>
    <row r="28" spans="1:23" s="34" customFormat="1" ht="12.75">
      <c r="A28" s="106">
        <v>17</v>
      </c>
      <c r="B28" s="107">
        <v>40247.72777777778</v>
      </c>
      <c r="C28" s="107">
        <v>40248.04305555556</v>
      </c>
      <c r="D28" s="108">
        <f>(C28-B28)*24</f>
        <v>7.566666666709352</v>
      </c>
      <c r="E28" s="109" t="s">
        <v>91</v>
      </c>
      <c r="F28" s="110">
        <v>105602</v>
      </c>
      <c r="G28" s="111"/>
      <c r="H28" s="107">
        <v>40248.04305555556</v>
      </c>
      <c r="I28" s="162">
        <v>40248.115277777775</v>
      </c>
      <c r="J28" s="108">
        <f>(I28-H28)*24</f>
        <v>1.7333333332207985</v>
      </c>
      <c r="K28" s="108">
        <f>(I28-H28)*24</f>
        <v>1.7333333332207985</v>
      </c>
      <c r="L28" s="113" t="s">
        <v>23</v>
      </c>
      <c r="M28" s="114" t="s">
        <v>23</v>
      </c>
      <c r="N28" s="114" t="s">
        <v>23</v>
      </c>
      <c r="O28" s="115" t="s">
        <v>17</v>
      </c>
      <c r="P28" s="138"/>
      <c r="Q28" s="35">
        <f t="shared" si="0"/>
        <v>1</v>
      </c>
      <c r="R28" s="35">
        <f t="shared" si="1"/>
      </c>
      <c r="S28" s="35">
        <f t="shared" si="2"/>
      </c>
      <c r="T28" s="36">
        <f t="shared" si="4"/>
        <v>1</v>
      </c>
      <c r="U28" s="30"/>
      <c r="V28" s="30"/>
      <c r="W28" s="30"/>
    </row>
    <row r="29" spans="1:23" s="34" customFormat="1" ht="12.75">
      <c r="A29" s="96">
        <v>18</v>
      </c>
      <c r="B29" s="97">
        <v>40248.115277777775</v>
      </c>
      <c r="C29" s="159">
        <v>40248.302083333336</v>
      </c>
      <c r="D29" s="98">
        <f>(C29-B29)*24</f>
        <v>4.483333333453629</v>
      </c>
      <c r="E29" s="99" t="s">
        <v>92</v>
      </c>
      <c r="F29" s="100">
        <v>105603</v>
      </c>
      <c r="G29" s="101"/>
      <c r="H29" s="159">
        <v>40248.302083333336</v>
      </c>
      <c r="I29" s="102">
        <v>40248.33541666667</v>
      </c>
      <c r="J29" s="98">
        <f>(I29-H29)*24</f>
        <v>0.7999999999883585</v>
      </c>
      <c r="K29" s="98">
        <f>(I29-H29)*24</f>
        <v>0.7999999999883585</v>
      </c>
      <c r="L29" s="103" t="s">
        <v>75</v>
      </c>
      <c r="M29" s="104" t="s">
        <v>75</v>
      </c>
      <c r="N29" s="104" t="s">
        <v>75</v>
      </c>
      <c r="O29" s="105" t="s">
        <v>17</v>
      </c>
      <c r="P29" s="137" t="s">
        <v>97</v>
      </c>
      <c r="Q29" s="35">
        <f t="shared" si="0"/>
        <v>1</v>
      </c>
      <c r="R29" s="35">
        <f t="shared" si="1"/>
      </c>
      <c r="S29" s="35">
        <f t="shared" si="2"/>
      </c>
      <c r="T29" s="36">
        <f t="shared" si="4"/>
        <v>1</v>
      </c>
      <c r="U29" s="30"/>
      <c r="V29" s="30"/>
      <c r="W29" s="30"/>
    </row>
    <row r="30" spans="1:23" s="34" customFormat="1" ht="12.75">
      <c r="A30" s="106">
        <v>19</v>
      </c>
      <c r="B30" s="107">
        <v>40248.33541666667</v>
      </c>
      <c r="C30" s="107">
        <v>40252.23125</v>
      </c>
      <c r="D30" s="108">
        <f>(C30-B30)*24</f>
        <v>93.49999999988358</v>
      </c>
      <c r="E30" s="160" t="s">
        <v>94</v>
      </c>
      <c r="F30" s="110">
        <v>105605</v>
      </c>
      <c r="G30" s="111"/>
      <c r="H30" s="107">
        <v>40252.23125</v>
      </c>
      <c r="I30" s="112">
        <v>40252.35902777778</v>
      </c>
      <c r="J30" s="108">
        <f>(I30-H30)*24</f>
        <v>3.0666666667093523</v>
      </c>
      <c r="K30" s="108"/>
      <c r="L30" s="113"/>
      <c r="M30" s="114"/>
      <c r="N30" s="114"/>
      <c r="O30" s="115"/>
      <c r="P30" s="138" t="s">
        <v>95</v>
      </c>
      <c r="Q30" s="35">
        <f t="shared" si="0"/>
      </c>
      <c r="R30" s="35">
        <f t="shared" si="1"/>
      </c>
      <c r="S30" s="35">
        <f t="shared" si="2"/>
      </c>
      <c r="T30" s="36">
        <f>SUM(Q30:S30)</f>
        <v>0</v>
      </c>
      <c r="U30" s="30"/>
      <c r="V30" s="30"/>
      <c r="W30" s="30"/>
    </row>
    <row r="31" spans="1:23" s="34" customFormat="1" ht="12.75">
      <c r="A31" s="96"/>
      <c r="B31" s="163"/>
      <c r="C31" s="163"/>
      <c r="D31" s="98"/>
      <c r="E31" s="164"/>
      <c r="F31" s="100"/>
      <c r="G31" s="101"/>
      <c r="H31" s="165">
        <v>40252.23125</v>
      </c>
      <c r="I31" s="166">
        <v>40252.31527777778</v>
      </c>
      <c r="J31" s="167"/>
      <c r="K31" s="167">
        <f>(I31-H31)*24</f>
        <v>2.0166666667792015</v>
      </c>
      <c r="L31" s="168" t="s">
        <v>24</v>
      </c>
      <c r="M31" s="169" t="s">
        <v>24</v>
      </c>
      <c r="N31" s="169" t="s">
        <v>24</v>
      </c>
      <c r="O31" s="170" t="s">
        <v>17</v>
      </c>
      <c r="P31" s="171"/>
      <c r="Q31" s="35">
        <f t="shared" si="0"/>
        <v>1</v>
      </c>
      <c r="R31" s="35">
        <f t="shared" si="1"/>
      </c>
      <c r="S31" s="35">
        <f t="shared" si="2"/>
      </c>
      <c r="T31" s="36">
        <f>SUM(Q31:S31)</f>
        <v>1</v>
      </c>
      <c r="U31" s="30"/>
      <c r="V31" s="30"/>
      <c r="W31" s="30"/>
    </row>
    <row r="32" spans="1:23" s="34" customFormat="1" ht="12.75">
      <c r="A32" s="96"/>
      <c r="B32" s="163"/>
      <c r="C32" s="163"/>
      <c r="D32" s="98"/>
      <c r="E32" s="164"/>
      <c r="F32" s="100"/>
      <c r="G32" s="101"/>
      <c r="H32" s="173">
        <v>40252.31527777778</v>
      </c>
      <c r="I32" s="173">
        <v>40252.35902777778</v>
      </c>
      <c r="J32" s="174"/>
      <c r="K32" s="174">
        <f>(I32-H32)*24</f>
        <v>1.0499999999301508</v>
      </c>
      <c r="L32" s="175" t="s">
        <v>85</v>
      </c>
      <c r="M32" s="176" t="s">
        <v>85</v>
      </c>
      <c r="N32" s="176" t="s">
        <v>85</v>
      </c>
      <c r="O32" s="177" t="s">
        <v>74</v>
      </c>
      <c r="P32" s="178" t="s">
        <v>96</v>
      </c>
      <c r="Q32" s="35">
        <f t="shared" si="0"/>
      </c>
      <c r="R32" s="35">
        <f t="shared" si="1"/>
      </c>
      <c r="S32" s="35">
        <f t="shared" si="2"/>
        <v>1</v>
      </c>
      <c r="T32" s="36">
        <f>SUM(Q32:S32)</f>
        <v>1</v>
      </c>
      <c r="U32" s="30"/>
      <c r="V32" s="30"/>
      <c r="W32" s="30"/>
    </row>
    <row r="33" spans="1:23" s="34" customFormat="1" ht="12.75">
      <c r="A33" s="96">
        <v>21</v>
      </c>
      <c r="B33" s="97">
        <v>40252.35902777778</v>
      </c>
      <c r="C33" s="159">
        <v>40252.819444444445</v>
      </c>
      <c r="D33" s="98">
        <f>(C33-B33)*24</f>
        <v>11.050000000046566</v>
      </c>
      <c r="E33" s="99" t="s">
        <v>93</v>
      </c>
      <c r="F33" s="100">
        <v>105606</v>
      </c>
      <c r="G33" s="101"/>
      <c r="H33" s="159">
        <v>40252.819444444445</v>
      </c>
      <c r="I33" s="102">
        <v>40252.83263888889</v>
      </c>
      <c r="J33" s="98">
        <f>(I33-H33)*24</f>
        <v>0.3166666666511446</v>
      </c>
      <c r="K33" s="98">
        <f>(I33-H33)*24</f>
        <v>0.3166666666511446</v>
      </c>
      <c r="L33" s="103" t="s">
        <v>24</v>
      </c>
      <c r="M33" s="104" t="s">
        <v>24</v>
      </c>
      <c r="N33" s="104" t="s">
        <v>24</v>
      </c>
      <c r="O33" s="105" t="s">
        <v>17</v>
      </c>
      <c r="P33" s="137"/>
      <c r="Q33" s="35">
        <f t="shared" si="0"/>
        <v>1</v>
      </c>
      <c r="R33" s="35">
        <f t="shared" si="1"/>
      </c>
      <c r="S33" s="35">
        <f t="shared" si="2"/>
      </c>
      <c r="T33" s="36">
        <f t="shared" si="4"/>
        <v>1</v>
      </c>
      <c r="U33" s="30"/>
      <c r="V33" s="30"/>
      <c r="W33" s="30"/>
    </row>
    <row r="34" spans="1:23" s="34" customFormat="1" ht="15">
      <c r="A34" s="106">
        <v>22</v>
      </c>
      <c r="B34" s="107">
        <v>40252.83263888889</v>
      </c>
      <c r="C34" s="107">
        <v>40253.333333333336</v>
      </c>
      <c r="D34" s="108">
        <f>(C34-B34)*24-1</f>
        <v>11.016666666720994</v>
      </c>
      <c r="E34" s="109" t="s">
        <v>21</v>
      </c>
      <c r="F34" s="110"/>
      <c r="G34" s="111"/>
      <c r="H34" s="161"/>
      <c r="I34" s="161"/>
      <c r="J34" s="108">
        <f>(I34-H34)*24</f>
        <v>0</v>
      </c>
      <c r="K34" s="108">
        <f>(I34-H34)*24</f>
        <v>0</v>
      </c>
      <c r="L34" s="113"/>
      <c r="M34" s="114"/>
      <c r="N34" s="114"/>
      <c r="O34" s="115" t="s">
        <v>22</v>
      </c>
      <c r="P34" s="138"/>
      <c r="Q34" s="35">
        <f t="shared" si="0"/>
      </c>
      <c r="R34" s="35">
        <f t="shared" si="1"/>
        <v>1</v>
      </c>
      <c r="S34" s="35">
        <f t="shared" si="2"/>
      </c>
      <c r="T34" s="36">
        <f t="shared" si="4"/>
        <v>1</v>
      </c>
      <c r="U34" s="30"/>
      <c r="V34" s="30"/>
      <c r="W34" s="30"/>
    </row>
    <row r="35" spans="1:23" s="34" customFormat="1" ht="12.75">
      <c r="A35" s="148"/>
      <c r="B35" s="149"/>
      <c r="C35" s="149"/>
      <c r="D35" s="150">
        <f>SUM(D27:D34)</f>
        <v>136.283333333442</v>
      </c>
      <c r="E35" s="151"/>
      <c r="F35" s="152"/>
      <c r="G35" s="153"/>
      <c r="H35" s="154"/>
      <c r="I35" s="154"/>
      <c r="J35" s="155">
        <f>SUM(J27:J34)</f>
        <v>6.716666666558012</v>
      </c>
      <c r="K35" s="155">
        <f>SUM(K27:K34)</f>
        <v>6.716666666558012</v>
      </c>
      <c r="L35" s="156"/>
      <c r="M35" s="157"/>
      <c r="N35" s="157"/>
      <c r="O35" s="158"/>
      <c r="P35" s="95"/>
      <c r="Q35" s="35">
        <f t="shared" si="0"/>
      </c>
      <c r="R35" s="35">
        <f t="shared" si="1"/>
      </c>
      <c r="S35" s="35">
        <f t="shared" si="2"/>
      </c>
      <c r="T35" s="36">
        <f t="shared" si="4"/>
        <v>0</v>
      </c>
      <c r="U35" s="30"/>
      <c r="V35" s="30"/>
      <c r="W35" s="30"/>
    </row>
    <row r="36" spans="1:23" s="34" customFormat="1" ht="12.75">
      <c r="A36" s="106">
        <v>23</v>
      </c>
      <c r="B36" s="107">
        <v>40254.333333333336</v>
      </c>
      <c r="C36" s="107">
        <v>40257.17986111111</v>
      </c>
      <c r="D36" s="108">
        <f>(C36-B36)*24</f>
        <v>68.31666666653473</v>
      </c>
      <c r="E36" s="160" t="s">
        <v>98</v>
      </c>
      <c r="F36" s="110">
        <v>105607</v>
      </c>
      <c r="G36" s="111"/>
      <c r="H36" s="107">
        <v>40257.17986111111</v>
      </c>
      <c r="I36" s="112">
        <v>40257.23263888889</v>
      </c>
      <c r="J36" s="108">
        <f>(I36-H36)*24</f>
        <v>1.2666666667792015</v>
      </c>
      <c r="K36" s="108">
        <f>(I36-H36)*24</f>
        <v>1.2666666667792015</v>
      </c>
      <c r="L36" s="113" t="s">
        <v>75</v>
      </c>
      <c r="M36" s="114" t="s">
        <v>75</v>
      </c>
      <c r="N36" s="114" t="s">
        <v>75</v>
      </c>
      <c r="O36" s="115" t="s">
        <v>17</v>
      </c>
      <c r="P36" s="138"/>
      <c r="Q36" s="35">
        <f t="shared" si="0"/>
        <v>1</v>
      </c>
      <c r="R36" s="35">
        <f t="shared" si="1"/>
      </c>
      <c r="S36" s="35">
        <f t="shared" si="2"/>
      </c>
      <c r="T36" s="36">
        <f t="shared" si="4"/>
        <v>1</v>
      </c>
      <c r="U36" s="30"/>
      <c r="V36" s="30"/>
      <c r="W36" s="30"/>
    </row>
    <row r="37" spans="1:23" s="34" customFormat="1" ht="12.75">
      <c r="A37" s="96">
        <v>24</v>
      </c>
      <c r="B37" s="97">
        <v>40257.23263888889</v>
      </c>
      <c r="C37" s="159">
        <v>40257.82638888889</v>
      </c>
      <c r="D37" s="98">
        <f>(C37-B37)*24</f>
        <v>14.25</v>
      </c>
      <c r="E37" s="99" t="s">
        <v>99</v>
      </c>
      <c r="F37" s="100">
        <v>105608</v>
      </c>
      <c r="G37" s="101"/>
      <c r="H37" s="159">
        <v>40257.82638888889</v>
      </c>
      <c r="I37" s="102">
        <v>40257.86875</v>
      </c>
      <c r="J37" s="98">
        <f>(I37-H37)*24</f>
        <v>1.0166666666627862</v>
      </c>
      <c r="K37" s="98">
        <f>(I37-H37)*24</f>
        <v>1.0166666666627862</v>
      </c>
      <c r="L37" s="103" t="s">
        <v>100</v>
      </c>
      <c r="M37" s="104" t="s">
        <v>60</v>
      </c>
      <c r="N37" s="104" t="s">
        <v>100</v>
      </c>
      <c r="O37" s="105" t="s">
        <v>17</v>
      </c>
      <c r="P37" s="137"/>
      <c r="Q37" s="35">
        <f t="shared" si="0"/>
        <v>1</v>
      </c>
      <c r="R37" s="35">
        <f t="shared" si="1"/>
      </c>
      <c r="S37" s="35">
        <f t="shared" si="2"/>
      </c>
      <c r="T37" s="36">
        <f t="shared" si="4"/>
        <v>1</v>
      </c>
      <c r="U37" s="30"/>
      <c r="V37" s="30"/>
      <c r="W37" s="30"/>
    </row>
    <row r="38" spans="1:23" s="34" customFormat="1" ht="15">
      <c r="A38" s="106">
        <v>25</v>
      </c>
      <c r="B38" s="107">
        <v>40257.86875</v>
      </c>
      <c r="C38" s="107">
        <v>40260.333333333336</v>
      </c>
      <c r="D38" s="108">
        <f>(C38-B38)*24</f>
        <v>59.15000000002328</v>
      </c>
      <c r="E38" s="109" t="s">
        <v>21</v>
      </c>
      <c r="F38" s="110"/>
      <c r="G38" s="111"/>
      <c r="H38" s="161"/>
      <c r="I38" s="161"/>
      <c r="J38" s="108">
        <f>(I38-H38)*24</f>
        <v>0</v>
      </c>
      <c r="K38" s="108">
        <f>(I38-H38)*24</f>
        <v>0</v>
      </c>
      <c r="L38" s="113"/>
      <c r="M38" s="114"/>
      <c r="N38" s="114"/>
      <c r="O38" s="115" t="s">
        <v>22</v>
      </c>
      <c r="P38" s="138"/>
      <c r="Q38" s="35">
        <f t="shared" si="0"/>
      </c>
      <c r="R38" s="35">
        <f t="shared" si="1"/>
        <v>1</v>
      </c>
      <c r="S38" s="35">
        <f t="shared" si="2"/>
      </c>
      <c r="T38" s="36">
        <f t="shared" si="4"/>
        <v>1</v>
      </c>
      <c r="U38" s="30"/>
      <c r="V38" s="30"/>
      <c r="W38" s="30"/>
    </row>
    <row r="39" spans="1:23" s="34" customFormat="1" ht="12.75">
      <c r="A39" s="148"/>
      <c r="B39" s="149"/>
      <c r="C39" s="149"/>
      <c r="D39" s="150">
        <f>SUM(D36:D38)</f>
        <v>141.716666666558</v>
      </c>
      <c r="E39" s="151"/>
      <c r="F39" s="152"/>
      <c r="G39" s="153"/>
      <c r="H39" s="154"/>
      <c r="I39" s="154"/>
      <c r="J39" s="155">
        <f>SUM(J36:J38)</f>
        <v>2.2833333334419876</v>
      </c>
      <c r="K39" s="155">
        <f>SUM(K36:K38)</f>
        <v>2.2833333334419876</v>
      </c>
      <c r="L39" s="156"/>
      <c r="M39" s="157"/>
      <c r="N39" s="157"/>
      <c r="O39" s="158"/>
      <c r="P39" s="95"/>
      <c r="Q39" s="35">
        <f t="shared" si="0"/>
      </c>
      <c r="R39" s="35">
        <f t="shared" si="1"/>
      </c>
      <c r="S39" s="35">
        <f t="shared" si="2"/>
      </c>
      <c r="T39" s="36">
        <f t="shared" si="4"/>
        <v>0</v>
      </c>
      <c r="U39" s="30"/>
      <c r="V39" s="30"/>
      <c r="W39" s="30"/>
    </row>
    <row r="40" spans="1:23" s="34" customFormat="1" ht="12.75">
      <c r="A40" s="106">
        <v>26</v>
      </c>
      <c r="B40" s="107">
        <v>40261.333333333336</v>
      </c>
      <c r="C40" s="107">
        <v>40262.72638888889</v>
      </c>
      <c r="D40" s="108">
        <f>(C40-B40)*24</f>
        <v>33.433333333348855</v>
      </c>
      <c r="E40" s="160" t="s">
        <v>101</v>
      </c>
      <c r="F40" s="110">
        <v>105609</v>
      </c>
      <c r="G40" s="111"/>
      <c r="H40" s="107">
        <v>40262.72638888889</v>
      </c>
      <c r="I40" s="112">
        <v>40262.808333333334</v>
      </c>
      <c r="J40" s="108">
        <f>(I40-H40)*24</f>
        <v>1.96666666661622</v>
      </c>
      <c r="K40" s="108">
        <f>(I40-H40)*24</f>
        <v>1.96666666661622</v>
      </c>
      <c r="L40" s="113" t="s">
        <v>23</v>
      </c>
      <c r="M40" s="114" t="s">
        <v>23</v>
      </c>
      <c r="N40" s="114" t="s">
        <v>23</v>
      </c>
      <c r="O40" s="115" t="s">
        <v>17</v>
      </c>
      <c r="P40" s="138"/>
      <c r="Q40" s="35">
        <f t="shared" si="0"/>
        <v>1</v>
      </c>
      <c r="R40" s="35">
        <f t="shared" si="1"/>
      </c>
      <c r="S40" s="35">
        <f t="shared" si="2"/>
      </c>
      <c r="T40" s="36">
        <f aca="true" t="shared" si="5" ref="T40:T50">SUM(Q40:S40)</f>
        <v>1</v>
      </c>
      <c r="U40" s="30"/>
      <c r="V40" s="30"/>
      <c r="W40" s="30"/>
    </row>
    <row r="41" spans="1:23" s="34" customFormat="1" ht="12.75">
      <c r="A41" s="96">
        <v>27</v>
      </c>
      <c r="B41" s="97">
        <v>40262.808333333334</v>
      </c>
      <c r="C41" s="159">
        <v>40265.444444444445</v>
      </c>
      <c r="D41" s="98">
        <f>(C41-B41)*24</f>
        <v>63.266666666662786</v>
      </c>
      <c r="E41" s="99" t="s">
        <v>102</v>
      </c>
      <c r="F41" s="100">
        <v>105610</v>
      </c>
      <c r="G41" s="101"/>
      <c r="H41" s="159">
        <v>40265.444444444445</v>
      </c>
      <c r="I41" s="102">
        <v>40265.46319444444</v>
      </c>
      <c r="J41" s="98">
        <f>(I41-H41)*24</f>
        <v>0.4499999998952262</v>
      </c>
      <c r="K41" s="98">
        <f>(I41-H41)*24</f>
        <v>0.4499999998952262</v>
      </c>
      <c r="L41" s="103" t="s">
        <v>24</v>
      </c>
      <c r="M41" s="104" t="s">
        <v>24</v>
      </c>
      <c r="N41" s="104" t="s">
        <v>24</v>
      </c>
      <c r="O41" s="105" t="s">
        <v>17</v>
      </c>
      <c r="P41" s="137"/>
      <c r="Q41" s="35">
        <f t="shared" si="0"/>
        <v>1</v>
      </c>
      <c r="R41" s="35">
        <f t="shared" si="1"/>
      </c>
      <c r="S41" s="35">
        <f t="shared" si="2"/>
      </c>
      <c r="T41" s="36">
        <f t="shared" si="5"/>
        <v>1</v>
      </c>
      <c r="U41" s="30"/>
      <c r="V41" s="30"/>
      <c r="W41" s="30"/>
    </row>
    <row r="42" spans="1:23" s="34" customFormat="1" ht="15">
      <c r="A42" s="106">
        <v>28</v>
      </c>
      <c r="B42" s="107">
        <v>40265.46319444444</v>
      </c>
      <c r="C42" s="107">
        <v>40266.333333333336</v>
      </c>
      <c r="D42" s="108">
        <f>(C42-B42)*24</f>
        <v>20.883333333476912</v>
      </c>
      <c r="E42" s="109" t="s">
        <v>21</v>
      </c>
      <c r="F42" s="110"/>
      <c r="G42" s="111"/>
      <c r="H42" s="161"/>
      <c r="I42" s="161"/>
      <c r="J42" s="108">
        <f>(I42-H42)*24</f>
        <v>0</v>
      </c>
      <c r="K42" s="108">
        <f>(I42-H42)*24</f>
        <v>0</v>
      </c>
      <c r="L42" s="113"/>
      <c r="M42" s="114"/>
      <c r="N42" s="114"/>
      <c r="O42" s="115" t="s">
        <v>22</v>
      </c>
      <c r="P42" s="138"/>
      <c r="Q42" s="35">
        <f t="shared" si="0"/>
      </c>
      <c r="R42" s="35">
        <f t="shared" si="1"/>
        <v>1</v>
      </c>
      <c r="S42" s="35">
        <f t="shared" si="2"/>
      </c>
      <c r="T42" s="36">
        <f t="shared" si="5"/>
        <v>1</v>
      </c>
      <c r="U42" s="30"/>
      <c r="V42" s="30"/>
      <c r="W42" s="30"/>
    </row>
    <row r="43" spans="1:23" s="34" customFormat="1" ht="12.75">
      <c r="A43" s="148"/>
      <c r="B43" s="149"/>
      <c r="C43" s="149"/>
      <c r="D43" s="150">
        <f>SUM(D40:D42)</f>
        <v>117.58333333348855</v>
      </c>
      <c r="E43" s="151"/>
      <c r="F43" s="152"/>
      <c r="G43" s="153"/>
      <c r="H43" s="154"/>
      <c r="I43" s="154"/>
      <c r="J43" s="155">
        <f>SUM(J40:J42)</f>
        <v>2.4166666665114462</v>
      </c>
      <c r="K43" s="155">
        <f>SUM(K40:K42)</f>
        <v>2.4166666665114462</v>
      </c>
      <c r="L43" s="156"/>
      <c r="M43" s="157"/>
      <c r="N43" s="157"/>
      <c r="O43" s="158"/>
      <c r="P43" s="95"/>
      <c r="Q43" s="35">
        <f t="shared" si="0"/>
      </c>
      <c r="R43" s="35">
        <f t="shared" si="1"/>
      </c>
      <c r="S43" s="35">
        <f t="shared" si="2"/>
      </c>
      <c r="T43" s="36">
        <f t="shared" si="5"/>
        <v>0</v>
      </c>
      <c r="U43" s="30"/>
      <c r="V43" s="30"/>
      <c r="W43" s="30"/>
    </row>
    <row r="44" spans="1:23" s="34" customFormat="1" ht="12.75">
      <c r="A44" s="106">
        <v>29</v>
      </c>
      <c r="B44" s="107">
        <v>40268.333333333336</v>
      </c>
      <c r="C44" s="107">
        <v>40269.24166666667</v>
      </c>
      <c r="D44" s="108">
        <f>(C44-B44)*24</f>
        <v>21.79999999998836</v>
      </c>
      <c r="E44" s="160" t="s">
        <v>103</v>
      </c>
      <c r="F44" s="110">
        <v>105611</v>
      </c>
      <c r="G44" s="111"/>
      <c r="H44" s="107">
        <v>40269.24166666667</v>
      </c>
      <c r="I44" s="112">
        <v>40269.32083333333</v>
      </c>
      <c r="J44" s="108">
        <f>(I44-H44)*24</f>
        <v>1.8999999999068677</v>
      </c>
      <c r="K44" s="108">
        <f>(I44-H44)*24</f>
        <v>1.8999999999068677</v>
      </c>
      <c r="L44" s="113" t="s">
        <v>23</v>
      </c>
      <c r="M44" s="114" t="s">
        <v>23</v>
      </c>
      <c r="N44" s="114" t="s">
        <v>23</v>
      </c>
      <c r="O44" s="115" t="s">
        <v>17</v>
      </c>
      <c r="P44" s="138" t="s">
        <v>104</v>
      </c>
      <c r="Q44" s="35">
        <f t="shared" si="0"/>
        <v>1</v>
      </c>
      <c r="R44" s="35">
        <f t="shared" si="1"/>
      </c>
      <c r="S44" s="35">
        <f t="shared" si="2"/>
      </c>
      <c r="T44" s="36">
        <f t="shared" si="5"/>
        <v>1</v>
      </c>
      <c r="U44" s="30"/>
      <c r="V44" s="30"/>
      <c r="W44" s="30"/>
    </row>
    <row r="45" spans="1:23" s="34" customFormat="1" ht="12.75">
      <c r="A45" s="96">
        <v>30</v>
      </c>
      <c r="B45" s="97">
        <v>40269.32083333333</v>
      </c>
      <c r="C45" s="159">
        <v>40271.65347222222</v>
      </c>
      <c r="D45" s="98">
        <f>(C45-B45)*24</f>
        <v>55.983333333337214</v>
      </c>
      <c r="E45" s="99" t="s">
        <v>105</v>
      </c>
      <c r="F45" s="100">
        <v>105612</v>
      </c>
      <c r="G45" s="101"/>
      <c r="H45" s="159">
        <v>40271.65347222222</v>
      </c>
      <c r="I45" s="102">
        <v>40271.709027777775</v>
      </c>
      <c r="J45" s="98">
        <f>(I45-H45)*24</f>
        <v>1.3333333333139308</v>
      </c>
      <c r="K45" s="98">
        <f>(I45-H45)*24</f>
        <v>1.3333333333139308</v>
      </c>
      <c r="L45" s="103" t="s">
        <v>24</v>
      </c>
      <c r="M45" s="104" t="s">
        <v>24</v>
      </c>
      <c r="N45" s="104" t="s">
        <v>24</v>
      </c>
      <c r="O45" s="105" t="s">
        <v>17</v>
      </c>
      <c r="P45" s="137"/>
      <c r="Q45" s="35">
        <f t="shared" si="0"/>
        <v>1</v>
      </c>
      <c r="R45" s="35">
        <f t="shared" si="1"/>
      </c>
      <c r="S45" s="35">
        <f t="shared" si="2"/>
      </c>
      <c r="T45" s="36">
        <f t="shared" si="5"/>
        <v>1</v>
      </c>
      <c r="U45" s="30"/>
      <c r="V45" s="30"/>
      <c r="W45" s="30"/>
    </row>
    <row r="46" spans="1:23" s="34" customFormat="1" ht="15">
      <c r="A46" s="106">
        <v>31</v>
      </c>
      <c r="B46" s="107">
        <v>40271.709027777775</v>
      </c>
      <c r="C46" s="107">
        <v>40274.333333333336</v>
      </c>
      <c r="D46" s="108">
        <f>(C46-B46)*24</f>
        <v>62.98333333345363</v>
      </c>
      <c r="E46" s="109" t="s">
        <v>21</v>
      </c>
      <c r="F46" s="110"/>
      <c r="G46" s="111"/>
      <c r="H46" s="161"/>
      <c r="I46" s="161"/>
      <c r="J46" s="108">
        <f>(I46-H46)*24</f>
        <v>0</v>
      </c>
      <c r="K46" s="108">
        <f>(I46-H46)*24</f>
        <v>0</v>
      </c>
      <c r="L46" s="113"/>
      <c r="M46" s="114"/>
      <c r="N46" s="114"/>
      <c r="O46" s="115" t="s">
        <v>22</v>
      </c>
      <c r="P46" s="138"/>
      <c r="Q46" s="35">
        <f t="shared" si="0"/>
      </c>
      <c r="R46" s="35">
        <f t="shared" si="1"/>
        <v>1</v>
      </c>
      <c r="S46" s="35">
        <f t="shared" si="2"/>
      </c>
      <c r="T46" s="36">
        <f t="shared" si="5"/>
        <v>1</v>
      </c>
      <c r="U46" s="30"/>
      <c r="V46" s="30"/>
      <c r="W46" s="30"/>
    </row>
    <row r="47" spans="1:23" s="34" customFormat="1" ht="12.75">
      <c r="A47" s="148"/>
      <c r="B47" s="149"/>
      <c r="C47" s="149"/>
      <c r="D47" s="150">
        <f>SUM(D44:D46)</f>
        <v>140.7666666667792</v>
      </c>
      <c r="E47" s="151"/>
      <c r="F47" s="152"/>
      <c r="G47" s="153"/>
      <c r="H47" s="154"/>
      <c r="I47" s="154"/>
      <c r="J47" s="155">
        <f>SUM(J44:J46)</f>
        <v>3.2333333332207985</v>
      </c>
      <c r="K47" s="155">
        <f>SUM(K44:K46)</f>
        <v>3.2333333332207985</v>
      </c>
      <c r="L47" s="156"/>
      <c r="M47" s="157"/>
      <c r="N47" s="157"/>
      <c r="O47" s="158"/>
      <c r="P47" s="95"/>
      <c r="Q47" s="35">
        <f t="shared" si="0"/>
      </c>
      <c r="R47" s="35">
        <f t="shared" si="1"/>
      </c>
      <c r="S47" s="35">
        <f t="shared" si="2"/>
      </c>
      <c r="T47" s="36">
        <f t="shared" si="5"/>
        <v>0</v>
      </c>
      <c r="U47" s="30"/>
      <c r="V47" s="30"/>
      <c r="W47" s="30"/>
    </row>
    <row r="48" spans="1:23" s="34" customFormat="1" ht="12.75">
      <c r="A48" s="96">
        <v>32</v>
      </c>
      <c r="B48" s="97">
        <v>40275.333333333336</v>
      </c>
      <c r="C48" s="159">
        <v>40276.07916666667</v>
      </c>
      <c r="D48" s="98">
        <f>(C48-B48)*24</f>
        <v>17.900000000023283</v>
      </c>
      <c r="E48" s="99" t="s">
        <v>106</v>
      </c>
      <c r="F48" s="100">
        <v>105614</v>
      </c>
      <c r="G48" s="101"/>
      <c r="H48" s="159">
        <v>40276.07916666667</v>
      </c>
      <c r="I48" s="102">
        <v>40276.095138888886</v>
      </c>
      <c r="J48" s="98">
        <f>(I48-H48)*24</f>
        <v>0.3833333331858739</v>
      </c>
      <c r="K48" s="98">
        <f>(I48-H48)*24</f>
        <v>0.3833333331858739</v>
      </c>
      <c r="L48" s="103" t="s">
        <v>24</v>
      </c>
      <c r="M48" s="104" t="s">
        <v>24</v>
      </c>
      <c r="N48" s="104" t="s">
        <v>24</v>
      </c>
      <c r="O48" s="105" t="s">
        <v>17</v>
      </c>
      <c r="P48" s="137"/>
      <c r="Q48" s="35">
        <f t="shared" si="0"/>
        <v>1</v>
      </c>
      <c r="R48" s="35">
        <f t="shared" si="1"/>
      </c>
      <c r="S48" s="35">
        <f t="shared" si="2"/>
      </c>
      <c r="T48" s="36">
        <f t="shared" si="5"/>
        <v>1</v>
      </c>
      <c r="U48" s="30"/>
      <c r="V48" s="30"/>
      <c r="W48" s="30"/>
    </row>
    <row r="49" spans="1:23" s="34" customFormat="1" ht="15">
      <c r="A49" s="106">
        <v>33</v>
      </c>
      <c r="B49" s="107">
        <v>40276.095138888886</v>
      </c>
      <c r="C49" s="107">
        <v>40281.333333333336</v>
      </c>
      <c r="D49" s="108">
        <f>(C49-B49)*24</f>
        <v>125.71666666679084</v>
      </c>
      <c r="E49" s="109" t="s">
        <v>21</v>
      </c>
      <c r="F49" s="110"/>
      <c r="G49" s="111"/>
      <c r="H49" s="161"/>
      <c r="I49" s="161"/>
      <c r="J49" s="108">
        <f>(I49-H49)*24</f>
        <v>0</v>
      </c>
      <c r="K49" s="108">
        <f>(I49-H49)*24</f>
        <v>0</v>
      </c>
      <c r="L49" s="113"/>
      <c r="M49" s="114"/>
      <c r="N49" s="114"/>
      <c r="O49" s="115" t="s">
        <v>22</v>
      </c>
      <c r="P49" s="138"/>
      <c r="Q49" s="35">
        <f t="shared" si="0"/>
      </c>
      <c r="R49" s="35">
        <f t="shared" si="1"/>
        <v>1</v>
      </c>
      <c r="S49" s="35">
        <f t="shared" si="2"/>
      </c>
      <c r="T49" s="36">
        <f t="shared" si="5"/>
        <v>1</v>
      </c>
      <c r="U49" s="30"/>
      <c r="V49" s="30"/>
      <c r="W49" s="30"/>
    </row>
    <row r="50" spans="1:23" s="34" customFormat="1" ht="12.75">
      <c r="A50" s="148"/>
      <c r="B50" s="149"/>
      <c r="C50" s="149"/>
      <c r="D50" s="150">
        <f>SUM(D48:D49)</f>
        <v>143.61666666681413</v>
      </c>
      <c r="E50" s="151"/>
      <c r="F50" s="152"/>
      <c r="G50" s="153"/>
      <c r="H50" s="154"/>
      <c r="I50" s="154"/>
      <c r="J50" s="155">
        <f>SUM(J48:J49)</f>
        <v>0.3833333331858739</v>
      </c>
      <c r="K50" s="155">
        <f>SUM(K48:K49)</f>
        <v>0.3833333331858739</v>
      </c>
      <c r="L50" s="156"/>
      <c r="M50" s="157"/>
      <c r="N50" s="157"/>
      <c r="O50" s="158"/>
      <c r="P50" s="95"/>
      <c r="Q50" s="35">
        <f t="shared" si="0"/>
      </c>
      <c r="R50" s="35">
        <f t="shared" si="1"/>
      </c>
      <c r="S50" s="35">
        <f t="shared" si="2"/>
      </c>
      <c r="T50" s="36">
        <f t="shared" si="5"/>
        <v>0</v>
      </c>
      <c r="U50" s="30"/>
      <c r="V50" s="30"/>
      <c r="W50" s="30"/>
    </row>
    <row r="51" spans="1:23" s="34" customFormat="1" ht="12.75">
      <c r="A51" s="96">
        <v>34</v>
      </c>
      <c r="B51" s="97">
        <v>40282.333333333336</v>
      </c>
      <c r="C51" s="159">
        <v>40282.614583333336</v>
      </c>
      <c r="D51" s="98">
        <f>(C51-B51)*24</f>
        <v>6.75</v>
      </c>
      <c r="E51" s="99" t="s">
        <v>107</v>
      </c>
      <c r="F51" s="100"/>
      <c r="G51" s="101"/>
      <c r="H51" s="159">
        <v>40282.614583333336</v>
      </c>
      <c r="I51" s="102">
        <v>40282.634722222225</v>
      </c>
      <c r="J51" s="98">
        <f>(I51-H51)*24</f>
        <v>0.48333333333721384</v>
      </c>
      <c r="K51" s="98">
        <f>(I51-H51)*24</f>
        <v>0.48333333333721384</v>
      </c>
      <c r="L51" s="103" t="s">
        <v>26</v>
      </c>
      <c r="M51" s="104" t="s">
        <v>26</v>
      </c>
      <c r="N51" s="104" t="s">
        <v>26</v>
      </c>
      <c r="O51" s="105" t="s">
        <v>17</v>
      </c>
      <c r="P51" s="137"/>
      <c r="Q51" s="35">
        <f t="shared" si="0"/>
        <v>1</v>
      </c>
      <c r="R51" s="35">
        <f t="shared" si="1"/>
      </c>
      <c r="S51" s="35">
        <f t="shared" si="2"/>
      </c>
      <c r="T51" s="36">
        <f>SUM(Q51:S51)</f>
        <v>1</v>
      </c>
      <c r="U51" s="30"/>
      <c r="V51" s="30"/>
      <c r="W51" s="30"/>
    </row>
    <row r="52" spans="1:23" s="34" customFormat="1" ht="15">
      <c r="A52" s="106">
        <v>35</v>
      </c>
      <c r="B52" s="107">
        <v>40282.634722222225</v>
      </c>
      <c r="C52" s="107">
        <v>40288.333333333336</v>
      </c>
      <c r="D52" s="108">
        <f>(C52-B52)*24</f>
        <v>136.7666666666628</v>
      </c>
      <c r="E52" s="109" t="s">
        <v>21</v>
      </c>
      <c r="F52" s="110"/>
      <c r="G52" s="111"/>
      <c r="H52" s="161"/>
      <c r="I52" s="161"/>
      <c r="J52" s="108">
        <f>(I52-H52)*24</f>
        <v>0</v>
      </c>
      <c r="K52" s="108">
        <f>(I52-H52)*24</f>
        <v>0</v>
      </c>
      <c r="L52" s="113"/>
      <c r="M52" s="114"/>
      <c r="N52" s="114"/>
      <c r="O52" s="115" t="s">
        <v>22</v>
      </c>
      <c r="P52" s="138"/>
      <c r="Q52" s="35">
        <f t="shared" si="0"/>
      </c>
      <c r="R52" s="35">
        <f t="shared" si="1"/>
        <v>1</v>
      </c>
      <c r="S52" s="35">
        <f t="shared" si="2"/>
      </c>
      <c r="T52" s="36">
        <f>SUM(Q52:S52)</f>
        <v>1</v>
      </c>
      <c r="U52" s="30"/>
      <c r="V52" s="30"/>
      <c r="W52" s="30"/>
    </row>
    <row r="53" spans="1:23" s="34" customFormat="1" ht="12.75">
      <c r="A53" s="148"/>
      <c r="B53" s="149"/>
      <c r="C53" s="149"/>
      <c r="D53" s="150">
        <f>SUM(D51:D52)</f>
        <v>143.5166666666628</v>
      </c>
      <c r="E53" s="151"/>
      <c r="F53" s="152"/>
      <c r="G53" s="153"/>
      <c r="H53" s="154"/>
      <c r="I53" s="154"/>
      <c r="J53" s="155">
        <f>SUM(J51:J52)</f>
        <v>0.48333333333721384</v>
      </c>
      <c r="K53" s="155">
        <f>SUM(K51:K52)</f>
        <v>0.48333333333721384</v>
      </c>
      <c r="L53" s="156"/>
      <c r="M53" s="157"/>
      <c r="N53" s="157"/>
      <c r="O53" s="158"/>
      <c r="P53" s="95"/>
      <c r="Q53" s="35">
        <f t="shared" si="0"/>
      </c>
      <c r="R53" s="35">
        <f t="shared" si="1"/>
      </c>
      <c r="S53" s="35">
        <f t="shared" si="2"/>
      </c>
      <c r="T53" s="36">
        <f>SUM(Q53:S53)</f>
        <v>0</v>
      </c>
      <c r="U53" s="30"/>
      <c r="V53" s="30"/>
      <c r="W53" s="30"/>
    </row>
    <row r="54" spans="1:23" s="34" customFormat="1" ht="15">
      <c r="A54" s="106">
        <v>36</v>
      </c>
      <c r="B54" s="107">
        <v>40289.333333333336</v>
      </c>
      <c r="C54" s="107">
        <v>40296.333333333336</v>
      </c>
      <c r="D54" s="108">
        <f>(C54-B54)*24</f>
        <v>168</v>
      </c>
      <c r="E54" s="109" t="s">
        <v>21</v>
      </c>
      <c r="F54" s="110"/>
      <c r="G54" s="111"/>
      <c r="H54" s="161"/>
      <c r="I54" s="161"/>
      <c r="J54" s="108">
        <f>(I54-H54)*24</f>
        <v>0</v>
      </c>
      <c r="K54" s="108">
        <f>(I54-H54)*24</f>
        <v>0</v>
      </c>
      <c r="L54" s="113"/>
      <c r="M54" s="114"/>
      <c r="N54" s="114"/>
      <c r="O54" s="115" t="s">
        <v>22</v>
      </c>
      <c r="P54" s="138"/>
      <c r="Q54" s="35">
        <f t="shared" si="0"/>
      </c>
      <c r="R54" s="35">
        <f t="shared" si="1"/>
        <v>1</v>
      </c>
      <c r="S54" s="35">
        <f t="shared" si="2"/>
      </c>
      <c r="T54" s="36">
        <f>SUM(Q54:S54)</f>
        <v>1</v>
      </c>
      <c r="U54" s="30"/>
      <c r="V54" s="30"/>
      <c r="W54" s="30"/>
    </row>
    <row r="55" spans="1:23" s="34" customFormat="1" ht="12.75">
      <c r="A55" s="148"/>
      <c r="B55" s="149"/>
      <c r="C55" s="149"/>
      <c r="D55" s="150">
        <f>SUM(D54:D54)</f>
        <v>168</v>
      </c>
      <c r="E55" s="151"/>
      <c r="F55" s="152"/>
      <c r="G55" s="153"/>
      <c r="H55" s="154"/>
      <c r="I55" s="154"/>
      <c r="J55" s="155">
        <f>SUM(J54:J54)</f>
        <v>0</v>
      </c>
      <c r="K55" s="155">
        <f>SUM(K54:K54)</f>
        <v>0</v>
      </c>
      <c r="L55" s="156"/>
      <c r="M55" s="157"/>
      <c r="N55" s="157"/>
      <c r="O55" s="158"/>
      <c r="P55" s="95"/>
      <c r="Q55" s="35">
        <f t="shared" si="0"/>
      </c>
      <c r="R55" s="35">
        <f t="shared" si="1"/>
      </c>
      <c r="S55" s="35">
        <f t="shared" si="2"/>
      </c>
      <c r="T55" s="36">
        <f>SUM(Q55:S55)</f>
        <v>0</v>
      </c>
      <c r="U55" s="30"/>
      <c r="V55" s="30"/>
      <c r="W55" s="30"/>
    </row>
    <row r="56" spans="1:20" ht="12.75">
      <c r="A56" s="86"/>
      <c r="B56" s="87"/>
      <c r="C56" s="87"/>
      <c r="D56" s="49"/>
      <c r="E56" s="88"/>
      <c r="F56" s="89"/>
      <c r="G56" s="90"/>
      <c r="H56" s="87"/>
      <c r="I56" s="87"/>
      <c r="J56" s="91"/>
      <c r="K56" s="91"/>
      <c r="L56" s="92"/>
      <c r="M56" s="93"/>
      <c r="N56" s="93"/>
      <c r="O56" s="94"/>
      <c r="P56" s="88"/>
      <c r="Q56" s="30"/>
      <c r="R56" s="30"/>
      <c r="S56" s="30"/>
      <c r="T56" s="30"/>
    </row>
    <row r="57" spans="1:18" ht="12.75">
      <c r="A57" s="28"/>
      <c r="B57" s="14"/>
      <c r="C57" s="37" t="s">
        <v>28</v>
      </c>
      <c r="D57" s="38">
        <f>Q59</f>
        <v>23</v>
      </c>
      <c r="E57" s="16"/>
      <c r="F57" s="29"/>
      <c r="G57" s="18"/>
      <c r="H57" s="19"/>
      <c r="I57" s="19"/>
      <c r="J57" s="39" t="s">
        <v>29</v>
      </c>
      <c r="K57" s="40"/>
      <c r="L57" s="21"/>
      <c r="M57" s="22"/>
      <c r="N57" s="22"/>
      <c r="O57" s="41"/>
      <c r="P57" s="23"/>
      <c r="R57" s="12">
        <f>IF($L57="Scheduled",1,"")</f>
      </c>
    </row>
    <row r="58" spans="1:18" ht="12.75">
      <c r="A58" s="28"/>
      <c r="B58" s="14"/>
      <c r="C58" s="37" t="s">
        <v>30</v>
      </c>
      <c r="D58" s="38">
        <f>D59-D57</f>
        <v>10</v>
      </c>
      <c r="E58" s="16"/>
      <c r="F58" s="29"/>
      <c r="G58" s="18"/>
      <c r="H58" s="19"/>
      <c r="I58" s="19"/>
      <c r="J58" s="15" t="s">
        <v>31</v>
      </c>
      <c r="K58" s="42" t="s">
        <v>13</v>
      </c>
      <c r="L58" s="21"/>
      <c r="M58" s="22"/>
      <c r="N58" s="22"/>
      <c r="O58" s="41"/>
      <c r="P58" s="23"/>
      <c r="R58" s="12">
        <f>IF($L58="Scheduled",1,"")</f>
      </c>
    </row>
    <row r="59" spans="1:29" ht="12.75">
      <c r="A59" s="28"/>
      <c r="B59" s="14"/>
      <c r="C59" s="37" t="s">
        <v>32</v>
      </c>
      <c r="D59" s="43">
        <f>COUNT(A7:A56)</f>
        <v>33</v>
      </c>
      <c r="E59" s="16"/>
      <c r="F59" s="29"/>
      <c r="G59" s="18"/>
      <c r="H59" s="19"/>
      <c r="I59" s="19"/>
      <c r="J59" s="44">
        <f>SUM(J6:J56)/2</f>
        <v>29.416666666511446</v>
      </c>
      <c r="K59" s="44">
        <f>SUM(K6:K56)/2</f>
        <v>29.416666666511446</v>
      </c>
      <c r="L59" s="21"/>
      <c r="M59" s="22"/>
      <c r="N59" s="22"/>
      <c r="O59" s="41"/>
      <c r="P59" s="23"/>
      <c r="Q59" s="43">
        <f>SUM(Q1:Q56)</f>
        <v>23</v>
      </c>
      <c r="R59" s="43">
        <f>SUM(R1:R56)</f>
        <v>10</v>
      </c>
      <c r="S59" s="43">
        <f>SUM(S1:S56)</f>
        <v>3</v>
      </c>
      <c r="T59" s="43">
        <f>SUM(T1:T56)</f>
        <v>36</v>
      </c>
      <c r="AA59" s="30"/>
      <c r="AB59" s="30"/>
      <c r="AC59" s="30"/>
    </row>
    <row r="60" spans="1:19" ht="12.75">
      <c r="A60" s="28"/>
      <c r="B60" s="14"/>
      <c r="C60" s="37"/>
      <c r="D60" s="15"/>
      <c r="E60" s="16"/>
      <c r="F60" s="29"/>
      <c r="G60" s="18"/>
      <c r="H60" s="19"/>
      <c r="I60" s="19"/>
      <c r="J60" s="15"/>
      <c r="K60" s="20"/>
      <c r="L60" s="21"/>
      <c r="M60" s="22"/>
      <c r="N60" s="22"/>
      <c r="O60" s="21"/>
      <c r="P60" s="23"/>
      <c r="Q60" s="12" t="s">
        <v>33</v>
      </c>
      <c r="R60" s="45" t="s">
        <v>22</v>
      </c>
      <c r="S60" s="12" t="s">
        <v>34</v>
      </c>
    </row>
    <row r="61" spans="1:26" ht="12.75">
      <c r="A61" s="28"/>
      <c r="B61" s="14"/>
      <c r="C61" s="37" t="s">
        <v>35</v>
      </c>
      <c r="D61" s="15">
        <f>SUM(D7:D56)/2</f>
        <v>1697.5833333334886</v>
      </c>
      <c r="E61" s="46">
        <f>D61/24</f>
        <v>70.73263888889535</v>
      </c>
      <c r="F61" s="47" t="s">
        <v>36</v>
      </c>
      <c r="G61" s="18"/>
      <c r="H61" s="19"/>
      <c r="I61" s="19"/>
      <c r="J61" s="15"/>
      <c r="K61" s="20"/>
      <c r="L61" s="21"/>
      <c r="M61" s="22"/>
      <c r="N61" s="22"/>
      <c r="O61" s="21"/>
      <c r="P61" s="23"/>
      <c r="Q61" s="12">
        <f>IF($O63="Store Lost",1,"")</f>
      </c>
      <c r="T61" s="48"/>
      <c r="U61" s="30"/>
      <c r="V61" s="30"/>
      <c r="W61" s="30"/>
      <c r="X61" s="30"/>
      <c r="Y61" s="30"/>
      <c r="Z61" s="30"/>
    </row>
    <row r="62" spans="1:17" ht="12.75">
      <c r="A62" s="28"/>
      <c r="B62" s="14"/>
      <c r="C62" s="37" t="s">
        <v>37</v>
      </c>
      <c r="D62" s="15">
        <f>J59</f>
        <v>29.416666666511446</v>
      </c>
      <c r="E62" s="16" t="s">
        <v>38</v>
      </c>
      <c r="F62" s="29"/>
      <c r="G62" s="18"/>
      <c r="H62" s="19"/>
      <c r="I62" s="19"/>
      <c r="J62" s="15"/>
      <c r="K62" s="20"/>
      <c r="L62" s="21"/>
      <c r="M62" s="22"/>
      <c r="N62" s="22"/>
      <c r="O62" s="21"/>
      <c r="P62" s="23"/>
      <c r="Q62" s="12">
        <f>IF($O64="Store Lost",1,"")</f>
      </c>
    </row>
    <row r="63" spans="1:17" ht="12.75">
      <c r="A63" s="28"/>
      <c r="B63" s="14"/>
      <c r="C63" s="37" t="s">
        <v>39</v>
      </c>
      <c r="D63" s="43">
        <f>SUM(D61:D62)</f>
        <v>1727</v>
      </c>
      <c r="E63" s="46"/>
      <c r="F63" s="29"/>
      <c r="G63" s="18"/>
      <c r="H63" s="19"/>
      <c r="I63" s="19"/>
      <c r="J63" s="15"/>
      <c r="K63" s="20"/>
      <c r="L63" s="21"/>
      <c r="M63" s="22"/>
      <c r="N63" s="22"/>
      <c r="O63" s="21"/>
      <c r="P63" s="23"/>
      <c r="Q63" s="12">
        <f>IF($O65="Store Lost",1,"")</f>
      </c>
    </row>
    <row r="64" spans="1:18" ht="12.75">
      <c r="A64" s="28"/>
      <c r="B64" s="14"/>
      <c r="C64" s="37"/>
      <c r="D64" s="49"/>
      <c r="E64" s="50"/>
      <c r="F64" s="29"/>
      <c r="G64" s="18"/>
      <c r="H64" s="15"/>
      <c r="I64" s="19"/>
      <c r="J64" s="15"/>
      <c r="K64" s="20"/>
      <c r="L64" s="21"/>
      <c r="M64" s="22"/>
      <c r="N64" s="22"/>
      <c r="O64" s="21"/>
      <c r="P64" s="23"/>
      <c r="Q64" s="51">
        <f>Q59+R59</f>
        <v>33</v>
      </c>
      <c r="R64" s="12">
        <f>IF($P66="Store Lost",1,"")</f>
      </c>
    </row>
    <row r="65" spans="1:20" ht="12.75">
      <c r="A65" s="28"/>
      <c r="B65" s="14"/>
      <c r="C65" s="37"/>
      <c r="D65" s="49"/>
      <c r="E65" s="16"/>
      <c r="F65" s="29"/>
      <c r="G65" s="18"/>
      <c r="H65" s="19"/>
      <c r="I65" s="19"/>
      <c r="J65" s="15"/>
      <c r="K65" s="20"/>
      <c r="L65" s="21"/>
      <c r="M65" s="22"/>
      <c r="N65" s="22"/>
      <c r="O65" s="21"/>
      <c r="P65" s="23"/>
      <c r="Q65" s="23"/>
      <c r="R65" s="12">
        <f>IF($P67="Store Lost",1,"")</f>
      </c>
      <c r="S65" s="30"/>
      <c r="T65" s="30"/>
    </row>
    <row r="66" spans="1:18" ht="12.75">
      <c r="A66" s="28"/>
      <c r="B66" s="14"/>
      <c r="C66" s="37" t="s">
        <v>40</v>
      </c>
      <c r="D66" s="52">
        <f>IF(D57,D61/D57,D61)</f>
        <v>73.8079710144995</v>
      </c>
      <c r="E66" s="16"/>
      <c r="F66" s="29"/>
      <c r="G66" s="18"/>
      <c r="J66" s="7"/>
      <c r="K66" s="53"/>
      <c r="Q66" s="23"/>
      <c r="R66" s="12">
        <f>IF($P68="Store Lost",1,"")</f>
      </c>
    </row>
    <row r="67" spans="1:18" ht="12.75">
      <c r="A67" s="28"/>
      <c r="B67" s="14"/>
      <c r="C67" s="37" t="s">
        <v>41</v>
      </c>
      <c r="D67" s="49">
        <f>IF(D57,24/D66,0)</f>
        <v>0.32516813116682514</v>
      </c>
      <c r="E67" s="54"/>
      <c r="F67" s="55"/>
      <c r="G67" s="56"/>
      <c r="K67" s="53"/>
      <c r="Q67" s="23"/>
      <c r="R67" s="12" t="e">
        <f>NA()</f>
        <v>#N/A</v>
      </c>
    </row>
    <row r="68" spans="1:18" ht="12.75">
      <c r="A68" s="28"/>
      <c r="B68" s="14"/>
      <c r="C68" s="37" t="s">
        <v>42</v>
      </c>
      <c r="D68" s="57">
        <f>D61/D63</f>
        <v>0.982966608762877</v>
      </c>
      <c r="E68" s="58"/>
      <c r="F68" s="29"/>
      <c r="G68" s="18"/>
      <c r="K68" s="53"/>
      <c r="Q68" s="23"/>
      <c r="R68" s="12" t="e">
        <f>NA()</f>
        <v>#N/A</v>
      </c>
    </row>
    <row r="69" spans="1:18" ht="12.75">
      <c r="A69" s="28"/>
      <c r="B69" s="14"/>
      <c r="C69" s="14"/>
      <c r="D69" s="15"/>
      <c r="E69" s="16"/>
      <c r="F69" s="29"/>
      <c r="G69" s="18"/>
      <c r="K69" s="53"/>
      <c r="Q69" s="23"/>
      <c r="R69" s="12">
        <f aca="true" t="shared" si="6" ref="R69:R78">IF($P71="Store Lost",1,"")</f>
      </c>
    </row>
    <row r="70" spans="1:29" s="59" customFormat="1" ht="12.75">
      <c r="A70" s="28"/>
      <c r="B70" s="14"/>
      <c r="C70" s="14"/>
      <c r="D70" s="15"/>
      <c r="E70" s="16"/>
      <c r="F70" s="29"/>
      <c r="G70" s="18"/>
      <c r="H70" s="7"/>
      <c r="I70" s="7"/>
      <c r="J70" s="3"/>
      <c r="K70" s="53"/>
      <c r="L70" s="9"/>
      <c r="M70" s="10"/>
      <c r="N70" s="10"/>
      <c r="O70" s="9"/>
      <c r="P70" s="11"/>
      <c r="Q70" s="23"/>
      <c r="R70" s="12">
        <f t="shared" si="6"/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18" ht="12.75">
      <c r="A71" s="28"/>
      <c r="B71" s="14"/>
      <c r="C71" s="14"/>
      <c r="D71" s="15"/>
      <c r="E71" s="16"/>
      <c r="F71" s="29"/>
      <c r="G71" s="18"/>
      <c r="K71" s="53"/>
      <c r="Q71" s="23"/>
      <c r="R71" s="12">
        <f t="shared" si="6"/>
      </c>
    </row>
    <row r="72" spans="1:18" ht="12.75">
      <c r="A72" s="28"/>
      <c r="B72" s="14"/>
      <c r="C72" s="14"/>
      <c r="D72" s="15"/>
      <c r="E72" s="16"/>
      <c r="F72" s="29"/>
      <c r="G72" s="18"/>
      <c r="K72" s="53"/>
      <c r="Q72" s="23"/>
      <c r="R72" s="12">
        <f t="shared" si="6"/>
      </c>
    </row>
    <row r="73" spans="1:18" ht="12.75">
      <c r="A73" s="28"/>
      <c r="B73" s="14"/>
      <c r="C73" s="14"/>
      <c r="D73" s="15"/>
      <c r="E73" s="16"/>
      <c r="F73" s="29"/>
      <c r="G73" s="18"/>
      <c r="K73" s="53"/>
      <c r="Q73" s="23"/>
      <c r="R73" s="12">
        <f t="shared" si="6"/>
      </c>
    </row>
    <row r="74" spans="1:18" ht="12.75">
      <c r="A74" s="28"/>
      <c r="B74" s="14"/>
      <c r="C74" s="14"/>
      <c r="D74" s="15"/>
      <c r="E74" s="16"/>
      <c r="F74" s="29"/>
      <c r="G74" s="18"/>
      <c r="K74" s="53"/>
      <c r="Q74" s="23"/>
      <c r="R74" s="12">
        <f t="shared" si="6"/>
      </c>
    </row>
    <row r="75" spans="1:18" ht="12.75">
      <c r="A75" s="28"/>
      <c r="B75" s="14"/>
      <c r="C75" s="14"/>
      <c r="D75" s="15"/>
      <c r="E75" s="16"/>
      <c r="F75" s="29"/>
      <c r="G75" s="18"/>
      <c r="K75" s="53"/>
      <c r="Q75" s="23"/>
      <c r="R75" s="12">
        <f t="shared" si="6"/>
      </c>
    </row>
    <row r="76" spans="1:18" ht="12.75">
      <c r="A76" s="28"/>
      <c r="B76" s="14"/>
      <c r="C76" s="14"/>
      <c r="D76" s="15"/>
      <c r="E76" s="16"/>
      <c r="F76" s="29"/>
      <c r="G76" s="18"/>
      <c r="K76" s="53"/>
      <c r="Q76" s="23"/>
      <c r="R76" s="12">
        <f t="shared" si="6"/>
      </c>
    </row>
    <row r="77" spans="1:18" ht="12.75">
      <c r="A77" s="28"/>
      <c r="B77" s="14"/>
      <c r="C77" s="14"/>
      <c r="D77" s="15"/>
      <c r="E77" s="16"/>
      <c r="F77" s="29"/>
      <c r="G77" s="18"/>
      <c r="K77" s="53"/>
      <c r="Q77" s="23"/>
      <c r="R77" s="12">
        <f t="shared" si="6"/>
      </c>
    </row>
    <row r="78" spans="1:18" ht="12.75">
      <c r="A78" s="28"/>
      <c r="B78" s="14"/>
      <c r="C78" s="14"/>
      <c r="D78" s="15"/>
      <c r="E78" s="16"/>
      <c r="F78" s="29"/>
      <c r="G78" s="18"/>
      <c r="K78" s="53"/>
      <c r="Q78" s="23"/>
      <c r="R78" s="12">
        <f t="shared" si="6"/>
      </c>
    </row>
    <row r="79" spans="1:29" s="60" customFormat="1" ht="12.75">
      <c r="A79" s="28"/>
      <c r="B79" s="14"/>
      <c r="C79" s="14"/>
      <c r="D79" s="15"/>
      <c r="E79" s="16"/>
      <c r="F79" s="29"/>
      <c r="G79" s="18"/>
      <c r="H79" s="7"/>
      <c r="I79" s="7"/>
      <c r="J79" s="3"/>
      <c r="K79" s="53"/>
      <c r="L79" s="9"/>
      <c r="M79" s="10"/>
      <c r="N79" s="10"/>
      <c r="O79" s="9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s="30" customFormat="1" ht="12.75">
      <c r="A80" s="28"/>
      <c r="B80" s="14"/>
      <c r="C80" s="14"/>
      <c r="D80" s="15"/>
      <c r="E80" s="16"/>
      <c r="F80" s="29"/>
      <c r="G80" s="18"/>
      <c r="H80" s="7"/>
      <c r="I80" s="7"/>
      <c r="J80" s="3"/>
      <c r="K80" s="53"/>
      <c r="L80" s="9"/>
      <c r="M80" s="10"/>
      <c r="N80" s="10"/>
      <c r="O80" s="9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59"/>
      <c r="AB80" s="59"/>
      <c r="AC80" s="59"/>
    </row>
    <row r="81" spans="1:16" ht="12.75">
      <c r="A81" s="28"/>
      <c r="B81" s="14"/>
      <c r="C81" s="14"/>
      <c r="D81" s="15"/>
      <c r="E81" s="16"/>
      <c r="F81" s="29"/>
      <c r="G81" s="18"/>
      <c r="H81" s="19"/>
      <c r="I81" s="19"/>
      <c r="J81" s="15"/>
      <c r="K81" s="20"/>
      <c r="L81" s="21"/>
      <c r="M81" s="22"/>
      <c r="N81" s="22"/>
      <c r="O81" s="21"/>
      <c r="P81" s="23"/>
    </row>
    <row r="82" spans="1:26" ht="12.75">
      <c r="A82" s="28"/>
      <c r="B82" s="14"/>
      <c r="C82" s="14"/>
      <c r="E82" s="16"/>
      <c r="F82" s="29"/>
      <c r="G82" s="18"/>
      <c r="H82" s="19"/>
      <c r="I82" s="19"/>
      <c r="L82" s="21"/>
      <c r="M82" s="22"/>
      <c r="N82" s="22"/>
      <c r="O82" s="21"/>
      <c r="P82" s="23"/>
      <c r="U82" s="59"/>
      <c r="V82" s="59"/>
      <c r="W82" s="59"/>
      <c r="X82" s="59"/>
      <c r="Y82" s="59"/>
      <c r="Z82" s="59"/>
    </row>
    <row r="83" spans="1:16" ht="12.75">
      <c r="A83" s="28"/>
      <c r="B83" s="14"/>
      <c r="C83" s="14"/>
      <c r="E83" s="16"/>
      <c r="F83" s="29"/>
      <c r="G83" s="18"/>
      <c r="H83" s="19"/>
      <c r="I83" s="19"/>
      <c r="L83" s="21"/>
      <c r="M83" s="22"/>
      <c r="N83" s="22"/>
      <c r="O83" s="21"/>
      <c r="P83" s="23"/>
    </row>
    <row r="84" spans="1:16" ht="12.75">
      <c r="A84" s="28"/>
      <c r="B84" s="14"/>
      <c r="C84" s="14"/>
      <c r="E84" s="16"/>
      <c r="F84" s="29"/>
      <c r="G84" s="18"/>
      <c r="H84" s="19"/>
      <c r="I84" s="19"/>
      <c r="L84" s="21"/>
      <c r="M84" s="22"/>
      <c r="N84" s="22"/>
      <c r="O84" s="21"/>
      <c r="P84" s="23"/>
    </row>
    <row r="85" spans="1:16" ht="12.75">
      <c r="A85" s="28"/>
      <c r="B85" s="14"/>
      <c r="C85" s="14"/>
      <c r="F85" s="29"/>
      <c r="G85" s="18"/>
      <c r="H85" s="19"/>
      <c r="I85" s="19"/>
      <c r="L85" s="21"/>
      <c r="M85" s="22"/>
      <c r="N85" s="22"/>
      <c r="O85" s="21"/>
      <c r="P85" s="23"/>
    </row>
    <row r="86" spans="1:20" ht="12.75">
      <c r="A86" s="28"/>
      <c r="B86" s="14"/>
      <c r="C86" s="14"/>
      <c r="F86" s="29"/>
      <c r="G86" s="18"/>
      <c r="H86" s="19"/>
      <c r="I86" s="19"/>
      <c r="L86" s="21"/>
      <c r="M86" s="22"/>
      <c r="N86" s="22"/>
      <c r="O86" s="21"/>
      <c r="P86" s="23"/>
      <c r="R86" s="59"/>
      <c r="S86" s="59"/>
      <c r="T86" s="59"/>
    </row>
    <row r="87" spans="2:16" ht="12.75">
      <c r="B87" s="14"/>
      <c r="C87" s="14"/>
      <c r="F87" s="29"/>
      <c r="G87" s="18"/>
      <c r="H87" s="19"/>
      <c r="I87" s="19"/>
      <c r="L87" s="21"/>
      <c r="M87" s="22"/>
      <c r="N87" s="22"/>
      <c r="O87" s="21"/>
      <c r="P87" s="23"/>
    </row>
    <row r="88" spans="2:17" ht="12.75">
      <c r="B88" s="14"/>
      <c r="C88" s="14"/>
      <c r="F88" s="29"/>
      <c r="G88" s="18"/>
      <c r="H88" s="19"/>
      <c r="I88" s="19"/>
      <c r="L88" s="21"/>
      <c r="M88" s="22"/>
      <c r="N88" s="22"/>
      <c r="O88" s="21"/>
      <c r="P88" s="23"/>
      <c r="Q88" s="12">
        <f aca="true" t="shared" si="7" ref="Q88:Q119">IF($O90="Store Lost",1,"")</f>
      </c>
    </row>
    <row r="89" spans="2:29" ht="12.75">
      <c r="B89" s="14"/>
      <c r="C89" s="14"/>
      <c r="F89" s="29"/>
      <c r="G89" s="18"/>
      <c r="H89" s="19"/>
      <c r="I89" s="19"/>
      <c r="L89" s="21"/>
      <c r="M89" s="22"/>
      <c r="N89" s="22"/>
      <c r="O89" s="21"/>
      <c r="P89" s="23"/>
      <c r="Q89" s="12">
        <f t="shared" si="7"/>
      </c>
      <c r="AA89" s="60"/>
      <c r="AB89" s="60"/>
      <c r="AC89" s="60"/>
    </row>
    <row r="90" spans="2:29" ht="12.75">
      <c r="B90" s="14"/>
      <c r="C90" s="14"/>
      <c r="Q90" s="12">
        <f t="shared" si="7"/>
      </c>
      <c r="AA90" s="30"/>
      <c r="AB90" s="30"/>
      <c r="AC90" s="30"/>
    </row>
    <row r="91" spans="17:26" ht="12.75">
      <c r="Q91" s="12">
        <f t="shared" si="7"/>
      </c>
      <c r="U91" s="60"/>
      <c r="V91" s="60"/>
      <c r="W91" s="60"/>
      <c r="X91" s="60"/>
      <c r="Y91" s="60"/>
      <c r="Z91" s="60"/>
    </row>
    <row r="92" spans="17:26" ht="12.75">
      <c r="Q92" s="12">
        <f t="shared" si="7"/>
      </c>
      <c r="U92" s="30"/>
      <c r="V92" s="30"/>
      <c r="W92" s="30"/>
      <c r="X92" s="30"/>
      <c r="Y92" s="30"/>
      <c r="Z92" s="30"/>
    </row>
    <row r="93" spans="1:29" s="59" customFormat="1" ht="12.75">
      <c r="A93" s="1"/>
      <c r="B93" s="2"/>
      <c r="C93" s="2"/>
      <c r="D93" s="3"/>
      <c r="E93" s="4"/>
      <c r="F93" s="5"/>
      <c r="G93" s="6"/>
      <c r="H93" s="7"/>
      <c r="I93" s="7"/>
      <c r="J93" s="3"/>
      <c r="K93" s="8"/>
      <c r="L93" s="9"/>
      <c r="M93" s="10"/>
      <c r="N93" s="10"/>
      <c r="O93" s="9"/>
      <c r="P93" s="11"/>
      <c r="Q93" s="12">
        <f t="shared" si="7"/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ht="12.75">
      <c r="Q94" s="12">
        <f t="shared" si="7"/>
      </c>
    </row>
    <row r="95" spans="17:20" ht="12.75">
      <c r="Q95" s="12">
        <f t="shared" si="7"/>
      </c>
      <c r="R95" s="60"/>
      <c r="S95" s="60"/>
      <c r="T95" s="60"/>
    </row>
    <row r="96" spans="17:20" ht="12.75">
      <c r="Q96" s="12">
        <f t="shared" si="7"/>
      </c>
      <c r="R96" s="30"/>
      <c r="S96" s="30"/>
      <c r="T96" s="30"/>
    </row>
    <row r="97" ht="12.75">
      <c r="Q97" s="12">
        <f t="shared" si="7"/>
      </c>
    </row>
    <row r="98" ht="12.75">
      <c r="Q98" s="12">
        <f t="shared" si="7"/>
      </c>
    </row>
    <row r="99" ht="12.75">
      <c r="Q99" s="12">
        <f t="shared" si="7"/>
      </c>
    </row>
    <row r="100" ht="12.75">
      <c r="Q100" s="12">
        <f t="shared" si="7"/>
      </c>
    </row>
    <row r="101" ht="12.75">
      <c r="Q101" s="12">
        <f t="shared" si="7"/>
      </c>
    </row>
    <row r="102" ht="12.75">
      <c r="Q102" s="12">
        <f t="shared" si="7"/>
      </c>
    </row>
    <row r="103" spans="17:29" ht="12.75">
      <c r="Q103" s="12">
        <f t="shared" si="7"/>
      </c>
      <c r="AA103" s="59"/>
      <c r="AB103" s="59"/>
      <c r="AC103" s="59"/>
    </row>
    <row r="104" ht="12.75">
      <c r="Q104" s="12">
        <f t="shared" si="7"/>
      </c>
    </row>
    <row r="105" spans="17:26" ht="12.75">
      <c r="Q105" s="12">
        <f t="shared" si="7"/>
      </c>
      <c r="U105" s="59"/>
      <c r="V105" s="59"/>
      <c r="W105" s="59"/>
      <c r="X105" s="59"/>
      <c r="Y105" s="59"/>
      <c r="Z105" s="59"/>
    </row>
    <row r="106" spans="1:29" s="59" customFormat="1" ht="12.75">
      <c r="A106" s="1"/>
      <c r="B106" s="2"/>
      <c r="C106" s="2"/>
      <c r="D106" s="3"/>
      <c r="E106" s="4"/>
      <c r="F106" s="5"/>
      <c r="G106" s="6"/>
      <c r="H106" s="7"/>
      <c r="I106" s="7"/>
      <c r="J106" s="3"/>
      <c r="K106" s="8"/>
      <c r="L106" s="9"/>
      <c r="M106" s="10"/>
      <c r="N106" s="10"/>
      <c r="O106" s="9"/>
      <c r="P106" s="11"/>
      <c r="Q106" s="12">
        <f t="shared" si="7"/>
      </c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s="30" customFormat="1" ht="12.75">
      <c r="A107" s="1"/>
      <c r="B107" s="2"/>
      <c r="C107" s="2"/>
      <c r="D107" s="3"/>
      <c r="E107" s="4"/>
      <c r="F107" s="5"/>
      <c r="G107" s="6"/>
      <c r="H107" s="7"/>
      <c r="I107" s="7"/>
      <c r="J107" s="3"/>
      <c r="K107" s="8"/>
      <c r="L107" s="9"/>
      <c r="M107" s="10"/>
      <c r="N107" s="10"/>
      <c r="O107" s="9"/>
      <c r="P107" s="11"/>
      <c r="Q107" s="12">
        <f t="shared" si="7"/>
      </c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s="59" customFormat="1" ht="12.75">
      <c r="A108" s="1"/>
      <c r="B108" s="2"/>
      <c r="C108" s="2"/>
      <c r="D108" s="3"/>
      <c r="E108" s="4"/>
      <c r="F108" s="5"/>
      <c r="G108" s="6"/>
      <c r="H108" s="7"/>
      <c r="I108" s="7"/>
      <c r="J108" s="3"/>
      <c r="K108" s="8"/>
      <c r="L108" s="9"/>
      <c r="M108" s="10"/>
      <c r="N108" s="10"/>
      <c r="O108" s="9"/>
      <c r="P108" s="11"/>
      <c r="Q108" s="12">
        <f t="shared" si="7"/>
      </c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7:20" ht="12.75">
      <c r="Q109" s="12">
        <f t="shared" si="7"/>
      </c>
      <c r="R109" s="59"/>
      <c r="S109" s="59"/>
      <c r="T109" s="59"/>
    </row>
    <row r="110" ht="12.75">
      <c r="Q110" s="12">
        <f t="shared" si="7"/>
      </c>
    </row>
    <row r="111" ht="12.75">
      <c r="Q111" s="12">
        <f t="shared" si="7"/>
      </c>
    </row>
    <row r="112" ht="12.75">
      <c r="Q112" s="12">
        <f t="shared" si="7"/>
      </c>
    </row>
    <row r="113" ht="12.75">
      <c r="Q113" s="12">
        <f t="shared" si="7"/>
      </c>
    </row>
    <row r="114" ht="12.75">
      <c r="Q114" s="12">
        <f t="shared" si="7"/>
      </c>
    </row>
    <row r="115" ht="12.75">
      <c r="Q115" s="12">
        <f t="shared" si="7"/>
      </c>
    </row>
    <row r="116" spans="17:29" ht="12.75">
      <c r="Q116" s="12">
        <f t="shared" si="7"/>
      </c>
      <c r="AA116" s="59"/>
      <c r="AB116" s="59"/>
      <c r="AC116" s="59"/>
    </row>
    <row r="117" spans="17:29" ht="12.75">
      <c r="Q117" s="12">
        <f t="shared" si="7"/>
      </c>
      <c r="AA117" s="30"/>
      <c r="AB117" s="30"/>
      <c r="AC117" s="30"/>
    </row>
    <row r="118" spans="17:29" ht="12.75">
      <c r="Q118" s="12">
        <f t="shared" si="7"/>
      </c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17:26" ht="12.75">
      <c r="Q119" s="12">
        <f t="shared" si="7"/>
      </c>
      <c r="U119" s="30"/>
      <c r="V119" s="30"/>
      <c r="W119" s="30"/>
      <c r="X119" s="30"/>
      <c r="Y119" s="30"/>
      <c r="Z119" s="30"/>
    </row>
    <row r="120" spans="17:26" ht="12.75">
      <c r="Q120" s="12">
        <f aca="true" t="shared" si="8" ref="Q120:Q145">IF($O122="Store Lost",1,"")</f>
      </c>
      <c r="U120" s="59"/>
      <c r="V120" s="59"/>
      <c r="W120" s="59"/>
      <c r="X120" s="59"/>
      <c r="Y120" s="59"/>
      <c r="Z120" s="59"/>
    </row>
    <row r="121" ht="12.75">
      <c r="Q121" s="12">
        <f t="shared" si="8"/>
      </c>
    </row>
    <row r="122" spans="17:20" ht="12.75">
      <c r="Q122" s="12">
        <f t="shared" si="8"/>
      </c>
      <c r="R122" s="59"/>
      <c r="S122" s="59"/>
      <c r="T122" s="59"/>
    </row>
    <row r="123" spans="17:20" ht="12.75">
      <c r="Q123" s="12">
        <f t="shared" si="8"/>
      </c>
      <c r="R123" s="30"/>
      <c r="S123" s="30"/>
      <c r="T123" s="30"/>
    </row>
    <row r="124" spans="17:20" ht="12.75">
      <c r="Q124" s="12">
        <f t="shared" si="8"/>
      </c>
      <c r="R124" s="59"/>
      <c r="S124" s="59"/>
      <c r="T124" s="59"/>
    </row>
    <row r="125" ht="12.75">
      <c r="Q125" s="12">
        <f t="shared" si="8"/>
      </c>
    </row>
    <row r="126" ht="12.75">
      <c r="Q126" s="12">
        <f t="shared" si="8"/>
      </c>
    </row>
    <row r="127" ht="12.75">
      <c r="Q127" s="12">
        <f t="shared" si="8"/>
      </c>
    </row>
    <row r="128" ht="12.75">
      <c r="Q128" s="12">
        <f t="shared" si="8"/>
      </c>
    </row>
    <row r="129" spans="1:29" s="59" customFormat="1" ht="12.75">
      <c r="A129" s="1"/>
      <c r="B129" s="2"/>
      <c r="C129" s="2"/>
      <c r="D129" s="3"/>
      <c r="E129" s="4"/>
      <c r="F129" s="5"/>
      <c r="G129" s="6"/>
      <c r="H129" s="7"/>
      <c r="I129" s="7"/>
      <c r="J129" s="3"/>
      <c r="K129" s="8"/>
      <c r="L129" s="9"/>
      <c r="M129" s="10"/>
      <c r="N129" s="10"/>
      <c r="O129" s="9"/>
      <c r="P129" s="11"/>
      <c r="Q129" s="12">
        <f t="shared" si="8"/>
      </c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ht="12.75">
      <c r="Q130" s="12">
        <f t="shared" si="8"/>
      </c>
    </row>
    <row r="131" ht="12.75">
      <c r="Q131" s="12">
        <f t="shared" si="8"/>
      </c>
    </row>
    <row r="132" ht="12.75">
      <c r="Q132" s="12">
        <f t="shared" si="8"/>
      </c>
    </row>
    <row r="133" ht="12.75">
      <c r="Q133" s="12">
        <f t="shared" si="8"/>
      </c>
    </row>
    <row r="134" ht="12.75">
      <c r="Q134" s="12">
        <f t="shared" si="8"/>
      </c>
    </row>
    <row r="135" ht="12.75">
      <c r="Q135" s="12">
        <f t="shared" si="8"/>
      </c>
    </row>
    <row r="136" ht="12.75">
      <c r="Q136" s="12">
        <f t="shared" si="8"/>
      </c>
    </row>
    <row r="137" ht="12.75">
      <c r="Q137" s="12">
        <f t="shared" si="8"/>
      </c>
    </row>
    <row r="138" ht="12.75">
      <c r="Q138" s="12">
        <f t="shared" si="8"/>
      </c>
    </row>
    <row r="139" spans="17:29" ht="12.75">
      <c r="Q139" s="12">
        <f t="shared" si="8"/>
      </c>
      <c r="AA139" s="59"/>
      <c r="AB139" s="59"/>
      <c r="AC139" s="59"/>
    </row>
    <row r="140" ht="12.75">
      <c r="Q140" s="12">
        <f t="shared" si="8"/>
      </c>
    </row>
    <row r="141" spans="17:26" ht="12.75">
      <c r="Q141" s="12">
        <f t="shared" si="8"/>
      </c>
      <c r="U141" s="59"/>
      <c r="V141" s="59"/>
      <c r="W141" s="59"/>
      <c r="X141" s="59"/>
      <c r="Y141" s="59"/>
      <c r="Z141" s="59"/>
    </row>
    <row r="142" ht="12.75">
      <c r="Q142" s="12">
        <f t="shared" si="8"/>
      </c>
    </row>
    <row r="143" ht="12.75">
      <c r="Q143" s="12">
        <f t="shared" si="8"/>
      </c>
    </row>
    <row r="144" ht="12.75">
      <c r="Q144" s="12">
        <f t="shared" si="8"/>
      </c>
    </row>
    <row r="145" spans="17:20" ht="12.75">
      <c r="Q145" s="12">
        <f t="shared" si="8"/>
      </c>
      <c r="R145" s="59"/>
      <c r="S145" s="59"/>
      <c r="T145" s="59"/>
    </row>
    <row r="149" ht="12.75">
      <c r="Q149" s="12">
        <f>COUNT(Q7:Q145)</f>
        <v>25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2" manualBreakCount="2">
    <brk id="68" max="15" man="1"/>
    <brk id="8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4"/>
  <sheetViews>
    <sheetView zoomScale="75" zoomScaleNormal="75" zoomScalePageLayoutView="0" workbookViewId="0" topLeftCell="A1">
      <selection activeCell="R18" sqref="R18"/>
    </sheetView>
  </sheetViews>
  <sheetFormatPr defaultColWidth="9.140625" defaultRowHeight="12.75"/>
  <cols>
    <col min="1" max="1" width="20.421875" style="0" customWidth="1"/>
    <col min="2" max="2" width="17.7109375" style="0" customWidth="1"/>
    <col min="3" max="10" width="9.00390625" style="0" customWidth="1"/>
    <col min="11" max="12" width="10.2812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10" ht="12.75">
      <c r="A3" s="84"/>
      <c r="B3" s="117" t="s">
        <v>14</v>
      </c>
      <c r="C3" s="116"/>
      <c r="D3" s="116"/>
      <c r="E3" s="116"/>
      <c r="F3" s="116"/>
      <c r="G3" s="116"/>
      <c r="H3" s="116"/>
      <c r="I3" s="116"/>
      <c r="J3" s="118"/>
    </row>
    <row r="4" spans="1:10" ht="12.75">
      <c r="A4" s="117" t="s">
        <v>43</v>
      </c>
      <c r="B4" s="84" t="s">
        <v>80</v>
      </c>
      <c r="C4" s="119" t="s">
        <v>23</v>
      </c>
      <c r="D4" s="119" t="s">
        <v>24</v>
      </c>
      <c r="E4" s="119" t="s">
        <v>26</v>
      </c>
      <c r="F4" s="119" t="s">
        <v>25</v>
      </c>
      <c r="G4" s="119" t="s">
        <v>75</v>
      </c>
      <c r="H4" s="119" t="s">
        <v>85</v>
      </c>
      <c r="I4" s="119" t="s">
        <v>100</v>
      </c>
      <c r="J4" s="120" t="s">
        <v>63</v>
      </c>
    </row>
    <row r="5" spans="1:10" ht="12.75">
      <c r="A5" s="84" t="s">
        <v>44</v>
      </c>
      <c r="B5" s="121">
        <v>0</v>
      </c>
      <c r="C5" s="122">
        <v>0</v>
      </c>
      <c r="D5" s="122">
        <v>0</v>
      </c>
      <c r="E5" s="122">
        <v>1</v>
      </c>
      <c r="F5" s="122">
        <v>0</v>
      </c>
      <c r="G5" s="122">
        <v>0</v>
      </c>
      <c r="H5" s="122">
        <v>2</v>
      </c>
      <c r="I5" s="122">
        <v>0</v>
      </c>
      <c r="J5" s="123">
        <v>3</v>
      </c>
    </row>
    <row r="6" spans="1:10" ht="12.75">
      <c r="A6" s="125" t="s">
        <v>45</v>
      </c>
      <c r="B6" s="126">
        <v>1</v>
      </c>
      <c r="C6" s="74">
        <v>4</v>
      </c>
      <c r="D6" s="74">
        <v>9</v>
      </c>
      <c r="E6" s="74">
        <v>3</v>
      </c>
      <c r="F6" s="74">
        <v>1</v>
      </c>
      <c r="G6" s="74">
        <v>4</v>
      </c>
      <c r="H6" s="74">
        <v>0</v>
      </c>
      <c r="I6" s="74">
        <v>1</v>
      </c>
      <c r="J6" s="127">
        <v>23</v>
      </c>
    </row>
    <row r="7" spans="1:10" ht="12.75">
      <c r="A7" s="133" t="s">
        <v>69</v>
      </c>
      <c r="B7" s="181">
        <v>1.883333333360497</v>
      </c>
      <c r="C7" s="134">
        <v>8.199999999837019</v>
      </c>
      <c r="D7" s="134">
        <v>6.383333333185874</v>
      </c>
      <c r="E7" s="134">
        <v>5.700000000069849</v>
      </c>
      <c r="F7" s="134">
        <v>0.33333333337213844</v>
      </c>
      <c r="G7" s="182">
        <v>4.683333333407063</v>
      </c>
      <c r="H7" s="182">
        <v>1.21666666661622</v>
      </c>
      <c r="I7" s="182">
        <v>1.0166666666627862</v>
      </c>
      <c r="J7" s="135">
        <v>29.416666666511446</v>
      </c>
    </row>
    <row r="13" spans="2:20" ht="12.75">
      <c r="B13" s="61" t="s">
        <v>24</v>
      </c>
      <c r="C13" s="62" t="s">
        <v>48</v>
      </c>
      <c r="D13" s="62" t="s">
        <v>23</v>
      </c>
      <c r="E13" s="62" t="s">
        <v>49</v>
      </c>
      <c r="F13" s="62" t="s">
        <v>50</v>
      </c>
      <c r="G13" s="62" t="s">
        <v>51</v>
      </c>
      <c r="H13" s="62" t="s">
        <v>52</v>
      </c>
      <c r="I13" s="62" t="s">
        <v>53</v>
      </c>
      <c r="J13" s="62" t="s">
        <v>54</v>
      </c>
      <c r="K13" s="62" t="s">
        <v>55</v>
      </c>
      <c r="L13" s="62" t="s">
        <v>56</v>
      </c>
      <c r="M13" s="62" t="s">
        <v>57</v>
      </c>
      <c r="N13" s="62" t="s">
        <v>58</v>
      </c>
      <c r="O13" s="62" t="s">
        <v>59</v>
      </c>
      <c r="P13" s="62" t="s">
        <v>60</v>
      </c>
      <c r="Q13" s="63" t="s">
        <v>61</v>
      </c>
      <c r="R13" s="64" t="s">
        <v>62</v>
      </c>
      <c r="S13" s="64" t="s">
        <v>63</v>
      </c>
      <c r="T13" s="65" t="s">
        <v>64</v>
      </c>
    </row>
    <row r="15" spans="1:20" s="69" customFormat="1" ht="12.75">
      <c r="A15" s="66" t="s">
        <v>71</v>
      </c>
      <c r="B15" s="67">
        <f>IF(B17,SUM(B17/B26),"")</f>
        <v>0.0036961976451568464</v>
      </c>
      <c r="C15" s="67">
        <f>IF(C17,SUM(C17/B26),"")</f>
        <v>0.00019301293188890472</v>
      </c>
      <c r="D15" s="67">
        <f>IF(D17,SUM(D17/B26),"")</f>
        <v>0.00474811812381993</v>
      </c>
      <c r="E15" s="67">
        <f>IF(E17,SUM(E17/B26),"")</f>
        <v>0.0033005211349564846</v>
      </c>
      <c r="F15" s="67">
        <f>IF(F17,SUM(F17/B26),"")</f>
      </c>
      <c r="G15" s="67">
        <f>IF(G17,SUM(G17/B26),0)</f>
        <v>0.002711831692766105</v>
      </c>
      <c r="H15" s="67">
        <f>IF(H17,SUM(H17/B26),"")</f>
      </c>
      <c r="I15" s="67">
        <f>IF(I17,SUM(I17/B26),"")</f>
      </c>
      <c r="J15" s="67">
        <f>IF(J17,SUM(J17/B26),"")</f>
        <v>0.0007044972012832774</v>
      </c>
      <c r="K15" s="67">
        <f>IF(K17,SUM(K17/B26),"")</f>
      </c>
      <c r="L15" s="67">
        <f>IF(L17,SUM(L17/B26),"")</f>
      </c>
      <c r="M15" s="67">
        <f>IF(M17,SUM(M17/B26),"")</f>
      </c>
      <c r="N15" s="67">
        <f>IF(N17,SUM(N17/B26),"")</f>
        <v>0.0005886894421903799</v>
      </c>
      <c r="O15" s="67">
        <f>IF(O17,SUM(O17/B26),"")</f>
        <v>0.0010905230650610869</v>
      </c>
      <c r="P15" s="67">
        <f>IF(P17,SUM(P17/B26),"")</f>
      </c>
      <c r="Q15" s="67">
        <f>IF(Q17,SUM(Q17/B26),"")</f>
      </c>
      <c r="R15" s="67" t="e">
        <f>IF(R17,SUM(R17/B26),"")</f>
        <v>#REF!</v>
      </c>
      <c r="S15" s="67">
        <f>IF(S17,SUM(S17/B26),"")</f>
        <v>0.017033391237123014</v>
      </c>
      <c r="T15" s="68">
        <f>IF(T17,SUM(T17/M13),"")</f>
      </c>
    </row>
    <row r="16" spans="1:20" ht="12.75">
      <c r="A16" s="66" t="s">
        <v>65</v>
      </c>
      <c r="B16" s="70">
        <f>'[1]reliabilitySummary'!$B$7</f>
        <v>0.0054</v>
      </c>
      <c r="C16" s="70">
        <f>'[1]reliabilitySummary'!$B$8</f>
        <v>0.0012000000000000001</v>
      </c>
      <c r="D16" s="70">
        <f>'[1]reliabilitySummary'!$B$9</f>
        <v>0.0054</v>
      </c>
      <c r="E16" s="70">
        <f>'[1]reliabilitySummary'!$B$10</f>
        <v>0.003</v>
      </c>
      <c r="F16" s="70">
        <f>'[1]reliabilitySummary'!$B$13</f>
        <v>0.0006000000000000001</v>
      </c>
      <c r="G16" s="70">
        <f>'[1]reliabilitySummary'!$B$14</f>
        <v>0.0006000000000000001</v>
      </c>
      <c r="H16" s="70">
        <f>'[1]reliabilitySummary'!$B$15</f>
        <v>0.0006000000000000001</v>
      </c>
      <c r="I16" s="70">
        <f>'[1]reliabilitySummary'!$B$16</f>
        <v>0.0036000000000000003</v>
      </c>
      <c r="J16" s="70">
        <f>'[1]reliabilitySummary'!$B$18</f>
        <v>0.0012000000000000001</v>
      </c>
      <c r="K16" s="70">
        <f>'[1]reliabilitySummary'!$B$19</f>
        <v>0</v>
      </c>
      <c r="L16" s="70">
        <f>'[1]reliabilitySummary'!$B$20</f>
        <v>0.0006000000000000001</v>
      </c>
      <c r="M16" s="70">
        <f>'[1]reliabilitySummary'!$B$24</f>
        <v>0.0006000000000000001</v>
      </c>
      <c r="N16" s="70">
        <f>'[1]reliabilitySummary'!$B$25</f>
        <v>0.0018000000000000002</v>
      </c>
      <c r="O16" s="70">
        <f>'[1]reliabilitySummary'!$B$26</f>
        <v>0.0006000000000000001</v>
      </c>
      <c r="P16" s="70">
        <f>'[1]reliabilitySummary'!$B$27</f>
        <v>0.0018000000000000002</v>
      </c>
      <c r="Q16" s="70">
        <f>'[1]reliabilitySummary'!$B$11</f>
        <v>0.0012000000000000001</v>
      </c>
      <c r="R16" s="70">
        <f>'[1]reliabilitySummary'!$B$28</f>
        <v>0.0006000000000000001</v>
      </c>
      <c r="S16" s="70">
        <v>0.03</v>
      </c>
      <c r="T16" s="71"/>
    </row>
    <row r="17" spans="1:20" s="69" customFormat="1" ht="12.75">
      <c r="A17" s="66" t="s">
        <v>66</v>
      </c>
      <c r="B17" s="68">
        <f>GETPIVOTDATA("Sum of System
Length",$A$3,"Group","Rf")</f>
        <v>6.383333333185874</v>
      </c>
      <c r="C17" s="68">
        <f>GETPIVOTDATA("Sum of System
Length",$A$3,"Group","DIA")</f>
        <v>0.33333333337213844</v>
      </c>
      <c r="D17" s="68">
        <f>GETPIVOTDATA("Sum of System
Length",$A$3,"Group","PS")</f>
        <v>8.199999999837019</v>
      </c>
      <c r="E17" s="68">
        <f>GETPIVOTDATA("Sum of System
Length",$A$3,"Group","CTl")</f>
        <v>5.700000000069849</v>
      </c>
      <c r="F17" s="68"/>
      <c r="G17" s="68">
        <f>GETPIVOTDATA("Sum of System
Length",$A$3,"Group","SI")</f>
        <v>4.683333333407063</v>
      </c>
      <c r="H17" s="68"/>
      <c r="I17" s="68"/>
      <c r="J17" s="68">
        <f>GETPIVOTDATA("Sum of System
Length",$A$3,"Group","OPS")</f>
        <v>1.21666666661622</v>
      </c>
      <c r="K17" s="68"/>
      <c r="L17" s="68"/>
      <c r="M17" s="68"/>
      <c r="N17" s="68">
        <f>GETPIVOTDATA("Sum of System
Length",$A$3,"Group","ComEd")</f>
        <v>1.0166666666627862</v>
      </c>
      <c r="O17" s="68">
        <f>GETPIVOTDATA("Sum of System
Length",$A$3,"Group","FMS")</f>
        <v>1.883333333360497</v>
      </c>
      <c r="P17" s="68"/>
      <c r="Q17" s="68"/>
      <c r="R17" s="68" t="e">
        <f>GETPIVOTDATA("Sum of System
Length",$A$3,"Group","UNK")</f>
        <v>#REF!</v>
      </c>
      <c r="S17" s="72">
        <f>'Main Data'!J59</f>
        <v>29.416666666511446</v>
      </c>
      <c r="T17" s="73"/>
    </row>
    <row r="18" spans="1:19" ht="12.75">
      <c r="A18" s="75" t="s">
        <v>67</v>
      </c>
      <c r="B18">
        <f>GETPIVOTDATA("Sum - Store Lost",$A$3,"Group","Rf")</f>
        <v>9</v>
      </c>
      <c r="C18">
        <f>GETPIVOTDATA("Sum - Store Lost",$A$3,"Group","DIA")</f>
        <v>1</v>
      </c>
      <c r="D18">
        <f>GETPIVOTDATA("Sum - Store Lost",$A$3,"Group","PS")</f>
        <v>4</v>
      </c>
      <c r="E18">
        <f>GETPIVOTDATA("Sum - Store Lost",$A$3,"Group","CTL")</f>
        <v>3</v>
      </c>
      <c r="G18">
        <f>GETPIVOTDATA("Sum - Store Lost",$A$3,"Group","SI")</f>
        <v>4</v>
      </c>
      <c r="J18">
        <f>GETPIVOTDATA("Sum - Store Lost",$A$3,"Group","OPS")</f>
        <v>0</v>
      </c>
      <c r="N18">
        <f>GETPIVOTDATA("Sum - Store Lost",$A$3,"Group","ComEd")</f>
        <v>1</v>
      </c>
      <c r="O18">
        <f>GETPIVOTDATA("Sum - Store Lost",$A$3,"Group","FMS")</f>
        <v>1</v>
      </c>
      <c r="S18" s="72">
        <f>SUM(B18:R18)</f>
        <v>23</v>
      </c>
    </row>
    <row r="19" spans="1:19" ht="12.75">
      <c r="A19" s="75"/>
      <c r="B19" s="74"/>
      <c r="C19" s="74"/>
      <c r="D19" s="74"/>
      <c r="E19" s="74"/>
      <c r="G19" s="74"/>
      <c r="H19" s="74"/>
      <c r="I19" s="74"/>
      <c r="M19" s="74"/>
      <c r="O19" s="74"/>
      <c r="S19" s="72"/>
    </row>
    <row r="20" spans="1:19" ht="13.5" thickBot="1">
      <c r="A20" s="75"/>
      <c r="B20" s="74"/>
      <c r="C20" s="74"/>
      <c r="D20" s="74"/>
      <c r="E20" s="74"/>
      <c r="G20" s="74"/>
      <c r="H20" s="74"/>
      <c r="I20" s="74"/>
      <c r="M20" s="74"/>
      <c r="O20" s="74"/>
      <c r="S20" s="72"/>
    </row>
    <row r="21" spans="2:19" ht="12.75">
      <c r="B21" s="61" t="s">
        <v>24</v>
      </c>
      <c r="C21" s="62" t="s">
        <v>48</v>
      </c>
      <c r="D21" s="62" t="s">
        <v>23</v>
      </c>
      <c r="E21" s="62" t="s">
        <v>49</v>
      </c>
      <c r="F21" s="62" t="s">
        <v>50</v>
      </c>
      <c r="G21" s="62" t="s">
        <v>51</v>
      </c>
      <c r="H21" s="62" t="s">
        <v>52</v>
      </c>
      <c r="I21" s="62" t="s">
        <v>27</v>
      </c>
      <c r="J21" s="62" t="s">
        <v>54</v>
      </c>
      <c r="K21" s="62" t="s">
        <v>55</v>
      </c>
      <c r="L21" s="62" t="s">
        <v>56</v>
      </c>
      <c r="M21" s="62" t="s">
        <v>57</v>
      </c>
      <c r="N21" s="62" t="s">
        <v>58</v>
      </c>
      <c r="O21" s="62" t="s">
        <v>59</v>
      </c>
      <c r="P21" s="62" t="s">
        <v>60</v>
      </c>
      <c r="Q21" s="63" t="s">
        <v>61</v>
      </c>
      <c r="R21" s="64" t="s">
        <v>62</v>
      </c>
      <c r="S21" s="72"/>
    </row>
    <row r="22" spans="1:19" ht="12.75">
      <c r="A22" s="66" t="s">
        <v>71</v>
      </c>
      <c r="B22" s="76">
        <f aca="true" t="shared" si="0" ref="B22:H22">B18/($B25/24)</f>
        <v>0.127239703500062</v>
      </c>
      <c r="C22" s="136">
        <f>C18/($B25/24)</f>
        <v>0.014137744833340224</v>
      </c>
      <c r="D22" s="77">
        <f t="shared" si="0"/>
        <v>0.056550979333360896</v>
      </c>
      <c r="E22" s="77">
        <f t="shared" si="0"/>
        <v>0.04241323450002067</v>
      </c>
      <c r="F22" s="76">
        <f t="shared" si="0"/>
        <v>0</v>
      </c>
      <c r="G22" s="76">
        <f t="shared" si="0"/>
        <v>0.056550979333360896</v>
      </c>
      <c r="H22" s="76">
        <f t="shared" si="0"/>
        <v>0</v>
      </c>
      <c r="I22" s="76"/>
      <c r="J22" s="77">
        <f>J18/($B25/24)</f>
        <v>0</v>
      </c>
      <c r="K22" s="77">
        <f>K18/($B25/24)</f>
        <v>0</v>
      </c>
      <c r="L22" s="76">
        <f>L18/($B25/24)</f>
        <v>0</v>
      </c>
      <c r="M22" s="77"/>
      <c r="N22" s="76">
        <f>N18/($B25/24)</f>
        <v>0.014137744833340224</v>
      </c>
      <c r="O22" s="76">
        <f>O18/($B25/24)</f>
        <v>0.014137744833340224</v>
      </c>
      <c r="P22" s="78"/>
      <c r="Q22" s="76">
        <f>Q18/($B25/24)</f>
        <v>0</v>
      </c>
      <c r="R22" s="76">
        <f>R18/($B25/24)</f>
        <v>0</v>
      </c>
      <c r="S22" s="76">
        <f>S18/($B25/24)</f>
        <v>0.32516813116682514</v>
      </c>
    </row>
    <row r="23" spans="1:20" ht="12.75">
      <c r="A23" s="79" t="s">
        <v>65</v>
      </c>
      <c r="B23" s="80">
        <f>'[1]reliabilitySummary'!$F$7</f>
        <v>0.12</v>
      </c>
      <c r="C23" s="80">
        <f>'[1]reliabilitySummary'!$F$8</f>
        <v>0.03</v>
      </c>
      <c r="D23" s="80">
        <v>0.12</v>
      </c>
      <c r="E23" s="80">
        <v>0.05</v>
      </c>
      <c r="F23" s="80">
        <v>0.01</v>
      </c>
      <c r="G23" s="80">
        <v>0.01</v>
      </c>
      <c r="H23" s="80">
        <v>0.02</v>
      </c>
      <c r="I23" s="80">
        <v>0.06</v>
      </c>
      <c r="J23" s="80">
        <v>0.02</v>
      </c>
      <c r="K23" s="81">
        <v>0</v>
      </c>
      <c r="L23" s="81">
        <v>0.01</v>
      </c>
      <c r="M23" s="81">
        <v>0.01</v>
      </c>
      <c r="N23" s="81">
        <v>0.01</v>
      </c>
      <c r="O23" s="81">
        <v>0.01</v>
      </c>
      <c r="P23" s="81">
        <v>0.02</v>
      </c>
      <c r="Q23" s="81">
        <v>0.01</v>
      </c>
      <c r="R23" s="81">
        <v>0.02</v>
      </c>
      <c r="S23" s="81">
        <f>SUM(B23:R23)</f>
        <v>0.5300000000000001</v>
      </c>
      <c r="T23" s="82"/>
    </row>
    <row r="25" spans="1:2" ht="12.75">
      <c r="A25" s="37" t="s">
        <v>35</v>
      </c>
      <c r="B25" s="69">
        <f>'Main Data'!D61</f>
        <v>1697.5833333334886</v>
      </c>
    </row>
    <row r="26" spans="1:2" ht="12.75">
      <c r="A26" s="83" t="s">
        <v>39</v>
      </c>
      <c r="B26" s="81">
        <f>'Main Data'!D63</f>
        <v>1727</v>
      </c>
    </row>
    <row r="30" ht="12.75">
      <c r="A30" s="84"/>
    </row>
    <row r="36" ht="12.75">
      <c r="A36" s="85" t="s">
        <v>68</v>
      </c>
    </row>
    <row r="37" spans="1:11" ht="12.75">
      <c r="A37" s="84"/>
      <c r="B37" s="116"/>
      <c r="C37" s="117" t="s">
        <v>12</v>
      </c>
      <c r="D37" s="116"/>
      <c r="E37" s="116"/>
      <c r="F37" s="116"/>
      <c r="G37" s="116"/>
      <c r="H37" s="116"/>
      <c r="I37" s="116"/>
      <c r="J37" s="116"/>
      <c r="K37" s="118"/>
    </row>
    <row r="38" spans="1:11" ht="12.75">
      <c r="A38" s="117" t="s">
        <v>15</v>
      </c>
      <c r="B38" s="117" t="s">
        <v>43</v>
      </c>
      <c r="C38" s="84" t="s">
        <v>23</v>
      </c>
      <c r="D38" s="119" t="s">
        <v>24</v>
      </c>
      <c r="E38" s="119" t="s">
        <v>75</v>
      </c>
      <c r="F38" s="119" t="s">
        <v>25</v>
      </c>
      <c r="G38" s="119" t="s">
        <v>26</v>
      </c>
      <c r="H38" s="119" t="s">
        <v>80</v>
      </c>
      <c r="I38" s="119" t="s">
        <v>85</v>
      </c>
      <c r="J38" s="119" t="s">
        <v>100</v>
      </c>
      <c r="K38" s="120" t="s">
        <v>63</v>
      </c>
    </row>
    <row r="39" spans="1:11" ht="12.75">
      <c r="A39" s="84" t="s">
        <v>17</v>
      </c>
      <c r="B39" s="84" t="s">
        <v>45</v>
      </c>
      <c r="C39" s="121">
        <v>4</v>
      </c>
      <c r="D39" s="122">
        <v>9</v>
      </c>
      <c r="E39" s="122">
        <v>4</v>
      </c>
      <c r="F39" s="122">
        <v>1</v>
      </c>
      <c r="G39" s="122">
        <v>3</v>
      </c>
      <c r="H39" s="122">
        <v>1</v>
      </c>
      <c r="I39" s="122"/>
      <c r="J39" s="122">
        <v>1</v>
      </c>
      <c r="K39" s="123">
        <v>23</v>
      </c>
    </row>
    <row r="40" spans="1:11" ht="12.75">
      <c r="A40" s="124"/>
      <c r="B40" s="125" t="s">
        <v>44</v>
      </c>
      <c r="C40" s="126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/>
      <c r="J40" s="74">
        <v>0</v>
      </c>
      <c r="K40" s="127">
        <v>0</v>
      </c>
    </row>
    <row r="41" spans="1:11" ht="12.75">
      <c r="A41" s="84" t="s">
        <v>74</v>
      </c>
      <c r="B41" s="84" t="s">
        <v>45</v>
      </c>
      <c r="C41" s="121"/>
      <c r="D41" s="122"/>
      <c r="E41" s="122"/>
      <c r="F41" s="122"/>
      <c r="G41" s="122">
        <v>0</v>
      </c>
      <c r="H41" s="122"/>
      <c r="I41" s="122">
        <v>0</v>
      </c>
      <c r="J41" s="122"/>
      <c r="K41" s="123">
        <v>0</v>
      </c>
    </row>
    <row r="42" spans="1:11" ht="12.75">
      <c r="A42" s="124"/>
      <c r="B42" s="125" t="s">
        <v>44</v>
      </c>
      <c r="C42" s="126"/>
      <c r="D42" s="74"/>
      <c r="E42" s="74"/>
      <c r="F42" s="74"/>
      <c r="G42" s="74">
        <v>1</v>
      </c>
      <c r="H42" s="74"/>
      <c r="I42" s="74">
        <v>2</v>
      </c>
      <c r="J42" s="74"/>
      <c r="K42" s="127">
        <v>3</v>
      </c>
    </row>
    <row r="43" spans="1:11" ht="12.75">
      <c r="A43" s="84" t="s">
        <v>47</v>
      </c>
      <c r="B43" s="116"/>
      <c r="C43" s="121">
        <v>4</v>
      </c>
      <c r="D43" s="122">
        <v>9</v>
      </c>
      <c r="E43" s="122">
        <v>4</v>
      </c>
      <c r="F43" s="122">
        <v>1</v>
      </c>
      <c r="G43" s="122">
        <v>3</v>
      </c>
      <c r="H43" s="122">
        <v>1</v>
      </c>
      <c r="I43" s="122">
        <v>0</v>
      </c>
      <c r="J43" s="122">
        <v>1</v>
      </c>
      <c r="K43" s="123">
        <v>23</v>
      </c>
    </row>
    <row r="44" spans="1:11" ht="12.75">
      <c r="A44" s="128" t="s">
        <v>46</v>
      </c>
      <c r="B44" s="129"/>
      <c r="C44" s="130">
        <v>0</v>
      </c>
      <c r="D44" s="131">
        <v>0</v>
      </c>
      <c r="E44" s="131">
        <v>0</v>
      </c>
      <c r="F44" s="131">
        <v>0</v>
      </c>
      <c r="G44" s="131">
        <v>1</v>
      </c>
      <c r="H44" s="131">
        <v>0</v>
      </c>
      <c r="I44" s="131">
        <v>2</v>
      </c>
      <c r="J44" s="131">
        <v>0</v>
      </c>
      <c r="K44" s="132"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21">
      <selection activeCell="A1" sqref="A1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C80" sqref="AC80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Randy Flood</cp:lastModifiedBy>
  <cp:lastPrinted>2010-08-20T14:53:32Z</cp:lastPrinted>
  <dcterms:created xsi:type="dcterms:W3CDTF">1998-01-15T00:06:45Z</dcterms:created>
  <dcterms:modified xsi:type="dcterms:W3CDTF">2010-08-20T19:59:37Z</dcterms:modified>
  <cp:category/>
  <cp:version/>
  <cp:contentType/>
  <cp:contentStatus/>
  <cp:revision>5</cp:revision>
</cp:coreProperties>
</file>