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6380" windowHeight="8196" tabRatio="882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Data'!$D$107</definedName>
    <definedName name="Mean_Time_Between_Faults">'Main Data'!$D$106</definedName>
    <definedName name="Number_of_Fills">'Main Data'!$D$99</definedName>
    <definedName name="Number_of_Intentional_Dumps">'Main Data'!$D$98</definedName>
    <definedName name="Number_of_Lost_Fills">'Main Data'!$D$97</definedName>
    <definedName name="_xlnm.Print_Area" localSheetId="3">'Faults Per Day'!$A$1:$W$67</definedName>
    <definedName name="_xlnm.Print_Area" localSheetId="0">'Main Data'!$A$2:$P$64</definedName>
    <definedName name="_xlnm.Print_Titles" localSheetId="0">'Main Data'!$5:$5</definedName>
    <definedName name="Refill_Time">'Main Data'!$D$1</definedName>
    <definedName name="Total_Schedule_Run_Length">'Main Data'!$D$103</definedName>
    <definedName name="Total_System_Downtime">'Main Data'!$K$99</definedName>
    <definedName name="Total_User_Beam">'Main Data'!$D$101</definedName>
    <definedName name="Total_User_Downtime">'Main Data'!$D$102</definedName>
    <definedName name="User_Beam_Days">'Main Data'!$E$101</definedName>
    <definedName name="X_ray_Availability">'Main Data'!$D$108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<sst xmlns="http://schemas.openxmlformats.org/spreadsheetml/2006/main" count="241" uniqueCount="104">
  <si>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</si>
  <si>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</si>
  <si>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</si>
  <si>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</si>
  <si>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</si>
  <si>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</si>
  <si>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</si>
  <si>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</si>
  <si>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</si>
  <si>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</si>
  <si>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</si>
  <si>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</si>
  <si>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</si>
  <si>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</si>
  <si>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</si>
  <si>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</si>
  <si>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</si>
  <si>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</si>
  <si>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</si>
  <si>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</si>
  <si>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</si>
  <si>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 xml:space="preserve">RF1 HV problem [Rf]      </t>
  </si>
  <si>
    <t>105521
105520
105519
105518
105517</t>
  </si>
  <si>
    <t>RF</t>
  </si>
  <si>
    <t>Subsequent fills &lt;1 hour with same cause</t>
  </si>
  <si>
    <t xml:space="preserve">RF1 Cathode Voltage [RF] </t>
  </si>
  <si>
    <t xml:space="preserve">  Int Dump: End of Period</t>
  </si>
  <si>
    <t>Scheduled</t>
  </si>
  <si>
    <t xml:space="preserve">RF Pwr Monitor trip[RF]  </t>
  </si>
  <si>
    <t xml:space="preserve">Under investigation      </t>
  </si>
  <si>
    <t>UNK</t>
  </si>
  <si>
    <t xml:space="preserve">S38A:S2:PS problem [PS]  </t>
  </si>
  <si>
    <t>PS</t>
  </si>
  <si>
    <t xml:space="preserve">RF2 HVPS trip [RF]       </t>
  </si>
  <si>
    <t xml:space="preserve">SR RF4 Mod Anode [RF]    </t>
  </si>
  <si>
    <t xml:space="preserve">RF4 Mod Anode [RF]       </t>
  </si>
  <si>
    <t>Kystron heater temp raised, reset and refilled</t>
  </si>
  <si>
    <t xml:space="preserve">Human error [AOP]        </t>
  </si>
  <si>
    <t>Switch to RF1 providing, AOP 1.95 hrs, RF 1 hour</t>
  </si>
  <si>
    <t>AOP</t>
  </si>
  <si>
    <t>Intentional dump</t>
  </si>
  <si>
    <t>Inhibits beam to user</t>
  </si>
  <si>
    <t xml:space="preserve">RF2 Arcs, Crowbar [RF]   </t>
  </si>
  <si>
    <t>105536
105535</t>
  </si>
  <si>
    <t>Second trip, waveguide switch</t>
  </si>
  <si>
    <t xml:space="preserve">S40 RF Cav. Vacuum [RF]  </t>
  </si>
  <si>
    <t>105538
105537</t>
  </si>
  <si>
    <t xml:space="preserve">19BM PSS trip [SI]       </t>
  </si>
  <si>
    <t>SI</t>
  </si>
  <si>
    <t xml:space="preserve">RF3 Heater trip [RF]     </t>
  </si>
  <si>
    <t>Waveguide switch, refill</t>
  </si>
  <si>
    <t>S9 BPLD module faillure [DIAG]</t>
  </si>
  <si>
    <t>105542
105541</t>
  </si>
  <si>
    <t>DIA</t>
  </si>
  <si>
    <t>2nd trip, LMPS module swap, validation</t>
  </si>
  <si>
    <t xml:space="preserve">Human error [UES]        </t>
  </si>
  <si>
    <t>UES</t>
  </si>
  <si>
    <t>S37 Sextupole trip [PS]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</si>
  <si>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</si>
  <si>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</si>
  <si>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</si>
  <si>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</si>
  <si>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</si>
  <si>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</si>
  <si>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</si>
  <si>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</si>
  <si>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</si>
  <si>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</si>
  <si>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</si>
  <si>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</si>
  <si>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</si>
  <si>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</si>
  <si>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</si>
  <si>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</si>
  <si>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Other</t>
  </si>
  <si>
    <t>Grand Total</t>
  </si>
  <si>
    <t>Sum of System
Length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</si>
  <si>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</si>
  <si>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</si>
  <si>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</si>
  <si>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</si>
  <si>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</si>
  <si>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</si>
  <si>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</si>
  <si>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</si>
  <si>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</si>
  <si>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</si>
  <si>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</si>
  <si>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</si>
  <si>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Network</t>
  </si>
  <si>
    <t>Unidentified</t>
  </si>
  <si>
    <t>Total Hours</t>
  </si>
  <si>
    <t>Budget</t>
  </si>
  <si>
    <t>Hours for Run</t>
  </si>
  <si>
    <t xml:space="preserve">Faults </t>
  </si>
  <si>
    <t>MOM</t>
  </si>
  <si>
    <t>Downtime for Run 2009-2</t>
  </si>
  <si>
    <t>Failed GESPAC [PS]</t>
  </si>
  <si>
    <t>33ID BPLD trip [UNKNOWN]</t>
  </si>
  <si>
    <t>Sum - Inhibits Beam</t>
  </si>
  <si>
    <t>Sum - Intention. Dump</t>
  </si>
  <si>
    <t>Sum - Store Lost</t>
  </si>
  <si>
    <t>Run 2009-2</t>
  </si>
  <si>
    <t>S6A:P1 noise [DIAG]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</si>
</sst>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0.0"/>
    <numFmt numFmtId="167" formatCode="_(\$* #,##0.00_);_(\$* \(#,##0.00\);_(\$* \-??_);_(@_)"/>
    <numFmt numFmtId="168" formatCode="0.0%"/>
    <numFmt numFmtId="169" formatCode="0.000000_);[Red]\(0.000000\)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5.75"/>
      <color indexed="8"/>
      <name val="Arial"/>
      <family val="2"/>
    </font>
    <font>
      <b/>
      <sz val="12"/>
      <color indexed="8"/>
      <name val="Arial"/>
      <family val="2"/>
    </font>
    <font>
      <sz val="19.75"/>
      <color indexed="8"/>
      <name val="Arial"/>
      <family val="2"/>
    </font>
    <font>
      <b/>
      <sz val="17.25"/>
      <color indexed="8"/>
      <name val="Arial"/>
      <family val="2"/>
    </font>
    <font>
      <sz val="17.25"/>
      <color indexed="8"/>
      <name val="Arial"/>
      <family val="2"/>
    </font>
    <font>
      <b/>
      <sz val="39.25"/>
      <color indexed="8"/>
      <name val="Arial"/>
      <family val="2"/>
    </font>
    <font>
      <sz val="19.5"/>
      <color indexed="8"/>
      <name val="Arial"/>
      <family val="2"/>
    </font>
    <font>
      <sz val="35.25"/>
      <color indexed="8"/>
      <name val="Arial"/>
      <family val="2"/>
    </font>
    <font>
      <b/>
      <sz val="35.25"/>
      <color indexed="8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NumberFormat="1" applyFont="1" applyFill="1" applyBorder="1" applyAlignment="1">
      <alignment horizontal="center" textRotation="90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textRotation="90"/>
    </xf>
    <xf numFmtId="2" fontId="2" fillId="0" borderId="1" xfId="0" applyNumberFormat="1" applyFont="1" applyFill="1" applyBorder="1" applyAlignment="1">
      <alignment horizontal="center" textRotation="90" wrapText="1"/>
    </xf>
    <xf numFmtId="165" fontId="2" fillId="0" borderId="1" xfId="0" applyNumberFormat="1" applyFont="1" applyFill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center" textRotation="90"/>
    </xf>
    <xf numFmtId="0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3" borderId="1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horizontal="right"/>
    </xf>
    <xf numFmtId="2" fontId="0" fillId="4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5" borderId="3" xfId="0" applyNumberFormat="1" applyFont="1" applyFill="1" applyBorder="1" applyAlignment="1" applyProtection="1">
      <alignment/>
      <protection/>
    </xf>
    <xf numFmtId="164" fontId="0" fillId="5" borderId="3" xfId="0" applyNumberFormat="1" applyFont="1" applyFill="1" applyBorder="1" applyAlignment="1">
      <alignment horizontal="right"/>
    </xf>
    <xf numFmtId="2" fontId="0" fillId="5" borderId="3" xfId="0" applyNumberFormat="1" applyFont="1" applyFill="1" applyBorder="1" applyAlignment="1">
      <alignment horizontal="right"/>
    </xf>
    <xf numFmtId="2" fontId="0" fillId="5" borderId="1" xfId="0" applyNumberFormat="1" applyFont="1" applyFill="1" applyBorder="1" applyAlignment="1">
      <alignment horizontal="right"/>
    </xf>
    <xf numFmtId="164" fontId="0" fillId="5" borderId="3" xfId="0" applyNumberFormat="1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/>
    </xf>
    <xf numFmtId="0" fontId="0" fillId="5" borderId="3" xfId="0" applyFill="1" applyBorder="1" applyAlignment="1">
      <alignment wrapText="1"/>
    </xf>
    <xf numFmtId="2" fontId="0" fillId="0" borderId="3" xfId="0" applyNumberFormat="1" applyFont="1" applyFill="1" applyBorder="1" applyAlignment="1">
      <alignment horizontal="right"/>
    </xf>
    <xf numFmtId="164" fontId="0" fillId="6" borderId="3" xfId="0" applyNumberFormat="1" applyFont="1" applyFill="1" applyBorder="1" applyAlignment="1">
      <alignment horizontal="right"/>
    </xf>
    <xf numFmtId="164" fontId="0" fillId="6" borderId="1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2" fontId="0" fillId="6" borderId="1" xfId="0" applyNumberFormat="1" applyFont="1" applyFill="1" applyBorder="1" applyAlignment="1">
      <alignment horizontal="right"/>
    </xf>
    <xf numFmtId="164" fontId="0" fillId="6" borderId="3" xfId="0" applyNumberFormat="1" applyFont="1" applyFill="1" applyBorder="1" applyAlignment="1" applyProtection="1">
      <alignment/>
      <protection/>
    </xf>
    <xf numFmtId="164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Font="1" applyFill="1" applyBorder="1" applyAlignment="1" applyProtection="1">
      <alignment/>
      <protection locked="0"/>
    </xf>
    <xf numFmtId="0" fontId="0" fillId="6" borderId="3" xfId="0" applyFont="1" applyFill="1" applyBorder="1" applyAlignment="1" applyProtection="1">
      <alignment/>
      <protection/>
    </xf>
    <xf numFmtId="0" fontId="0" fillId="6" borderId="3" xfId="0" applyFill="1" applyBorder="1" applyAlignment="1">
      <alignment wrapText="1"/>
    </xf>
    <xf numFmtId="164" fontId="0" fillId="2" borderId="3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4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22" fontId="0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17" applyNumberFormat="1" applyFont="1" applyFill="1" applyBorder="1" applyAlignment="1" applyProtection="1">
      <alignment horizontal="right"/>
      <protection/>
    </xf>
    <xf numFmtId="17" fontId="1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8" fontId="0" fillId="0" borderId="0" xfId="19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6" fontId="0" fillId="0" borderId="0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68" fontId="0" fillId="0" borderId="0" xfId="19" applyNumberFormat="1" applyFont="1" applyFill="1" applyBorder="1" applyAlignment="1" applyProtection="1">
      <alignment vertical="top" wrapText="1"/>
      <protection locked="0"/>
    </xf>
    <xf numFmtId="2" fontId="0" fillId="0" borderId="0" xfId="19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/>
    </xf>
    <xf numFmtId="164" fontId="0" fillId="7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4D1B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2008-2 Downtime by System 
May 27 - August 19, 2009
 Scheduled User Time =  1672 hours                                  
User downtime=  46.4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2009-2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0.013905502392449422</c:v>
                </c:pt>
                <c:pt idx="1">
                  <c:v>0.005183413078126892</c:v>
                </c:pt>
                <c:pt idx="2">
                  <c:v>0.007047448165864822</c:v>
                </c:pt>
                <c:pt idx="3">
                  <c:v>0</c:v>
                </c:pt>
                <c:pt idx="4">
                  <c:v>0</c:v>
                </c:pt>
                <c:pt idx="5">
                  <c:v>0.0003987240829810407</c:v>
                </c:pt>
                <c:pt idx="6">
                  <c:v>0</c:v>
                </c:pt>
                <c:pt idx="7">
                  <c:v>0</c:v>
                </c:pt>
                <c:pt idx="8">
                  <c:v>0.0005980861243671215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0.00016945773527738626</c:v>
                </c:pt>
                <c:pt idx="15">
                  <c:v>0</c:v>
                </c:pt>
                <c:pt idx="16">
                  <c:v>0.00044856459330145103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0.005399999999999999</c:v>
                </c:pt>
                <c:pt idx="1">
                  <c:v>0.0012</c:v>
                </c:pt>
                <c:pt idx="2">
                  <c:v>0.005399999999999999</c:v>
                </c:pt>
                <c:pt idx="3">
                  <c:v>0.003</c:v>
                </c:pt>
                <c:pt idx="4">
                  <c:v>0.0006</c:v>
                </c:pt>
                <c:pt idx="5">
                  <c:v>0.0006</c:v>
                </c:pt>
                <c:pt idx="6">
                  <c:v>0.0006</c:v>
                </c:pt>
                <c:pt idx="7">
                  <c:v>0.0036</c:v>
                </c:pt>
                <c:pt idx="8">
                  <c:v>0.0012</c:v>
                </c:pt>
                <c:pt idx="9">
                  <c:v>0</c:v>
                </c:pt>
                <c:pt idx="10">
                  <c:v>0.0006</c:v>
                </c:pt>
                <c:pt idx="11">
                  <c:v>0.0006</c:v>
                </c:pt>
                <c:pt idx="12">
                  <c:v>0.0018</c:v>
                </c:pt>
                <c:pt idx="13">
                  <c:v>0.0006</c:v>
                </c:pt>
                <c:pt idx="14">
                  <c:v>0.0018</c:v>
                </c:pt>
                <c:pt idx="15">
                  <c:v>0.0012</c:v>
                </c:pt>
                <c:pt idx="16">
                  <c:v>0.0006</c:v>
                </c:pt>
              </c:numCache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1446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2009-2 Faults Per Day By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2009-2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0.1476377952756138</c:v>
                </c:pt>
                <c:pt idx="1">
                  <c:v>0.044291338582684144</c:v>
                </c:pt>
                <c:pt idx="2">
                  <c:v>0.044291338582684144</c:v>
                </c:pt>
                <c:pt idx="3">
                  <c:v>0</c:v>
                </c:pt>
                <c:pt idx="4">
                  <c:v>0</c:v>
                </c:pt>
                <c:pt idx="5">
                  <c:v>0.014763779527561381</c:v>
                </c:pt>
                <c:pt idx="6">
                  <c:v>0</c:v>
                </c:pt>
                <c:pt idx="8">
                  <c:v>0.014763779527561381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0.029527559055122762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Stats!$B$23:$R$23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3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4D1B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97</xdr:row>
      <xdr:rowOff>142875</xdr:rowOff>
    </xdr:from>
    <xdr:to>
      <xdr:col>11</xdr:col>
      <xdr:colOff>85725</xdr:colOff>
      <xdr:row>98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686800" y="18087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85725</xdr:colOff>
      <xdr:row>55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8686800" y="10972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590550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12172950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23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0" y="19050"/>
        <a:ext cx="14020800" cy="1071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\2008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iabilitySummary"/>
    </sheetNames>
    <sheetDataSet>
      <sheetData sheetId="0">
        <row r="7">
          <cell r="B7">
            <v>0.005399999999999999</v>
          </cell>
          <cell r="F7">
            <v>0.12</v>
          </cell>
        </row>
        <row r="8">
          <cell r="B8">
            <v>0.0012</v>
          </cell>
          <cell r="F8">
            <v>0.03</v>
          </cell>
        </row>
        <row r="9">
          <cell r="B9">
            <v>0.005399999999999999</v>
          </cell>
          <cell r="F9">
            <v>0.12</v>
          </cell>
        </row>
        <row r="10">
          <cell r="B10">
            <v>0.003</v>
          </cell>
        </row>
        <row r="11">
          <cell r="B11">
            <v>0.0012</v>
          </cell>
        </row>
        <row r="13">
          <cell r="B13">
            <v>0.0006</v>
          </cell>
        </row>
        <row r="14">
          <cell r="B14">
            <v>0.0006</v>
          </cell>
        </row>
        <row r="15">
          <cell r="B15">
            <v>0.0006</v>
          </cell>
        </row>
        <row r="16">
          <cell r="B16">
            <v>0.0036</v>
          </cell>
        </row>
        <row r="19">
          <cell r="B19">
            <v>0</v>
          </cell>
        </row>
        <row r="20">
          <cell r="B20">
            <v>0.0006</v>
          </cell>
        </row>
        <row r="24">
          <cell r="B24">
            <v>0.0006</v>
          </cell>
        </row>
        <row r="25">
          <cell r="B25">
            <v>0.0018</v>
          </cell>
        </row>
        <row r="26">
          <cell r="B26">
            <v>0.0006</v>
          </cell>
        </row>
        <row r="27">
          <cell r="B27">
            <v>0.0018</v>
          </cell>
        </row>
        <row r="28">
          <cell r="B28">
            <v>0.0006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Blank="1" containsMixedTypes="0" count="21">
        <s v="RF1 HV problem [Rf]      "/>
        <s v="RF1 Cathode Voltage [RF] "/>
        <s v="  Int Dump: End of Period"/>
        <m/>
        <s v="RF Pwr Monitor trip[RF]  "/>
        <s v="Under investigation      "/>
        <s v="S38A:S2:PS problem [PS]  "/>
        <s v="RF2 HVPS trip [RF]       "/>
        <s v="SR RF4 Mod Anode [RF]    "/>
        <s v="RF4 Mod Anode [RF]       "/>
        <s v="Human error [AOP]        "/>
        <s v="RF2 Arcs, Crowbar [RF]   "/>
        <s v="S6A:P1 noise [DIAG]"/>
        <s v="S40 RF Cav. Vacuum [RF]  "/>
        <s v="19BM PSS trip [SI]       "/>
        <s v="RF3 Heater trip [RF]     "/>
        <s v="S9 BPLD module faillure [DIAG]"/>
        <s v="Human error [UES]        "/>
        <s v="S37 Sextupole trip [PS]"/>
        <s v="Failed GESPAC [PS]"/>
        <s v="33ID BPLD trip [UNKNOWN]"/>
      </sharedItems>
    </cacheField>
    <cacheField name="DIN #">
      <sharedItems containsBlank="1" containsMixedTypes="1" containsNumber="1" containsInteger="1" count="20">
        <s v="105521&#10;105520&#10;105519&#10;105518&#10;105517"/>
        <n v="105522"/>
        <m/>
        <n v="105524"/>
        <n v="105525"/>
        <n v="105526"/>
        <n v="105527"/>
        <n v="105529"/>
        <n v="105530"/>
        <n v="105531"/>
        <n v="105532"/>
        <n v="1055334"/>
        <s v="105536&#10;105535"/>
        <s v="105538&#10;105537"/>
        <n v="105539"/>
        <n v="105540"/>
        <s v="105542&#10;105541"/>
        <n v="105543"/>
        <n v="105546"/>
        <n v="105547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3">
        <d v="2009-05-29T03:53:00.000"/>
        <d v="2009-05-30T19:00:00.000"/>
        <m/>
        <d v="2009-06-03T15:23:00.000"/>
        <d v="2009-06-03T23:01:00.000"/>
        <d v="2009-06-04T21:00:00.000"/>
        <d v="2009-06-06T09:06:00.000"/>
        <d v="2009-06-10T17:14:00.000"/>
        <d v="2009-06-10T19:42:00.000"/>
        <d v="2009-06-10T23:13:00.000"/>
        <d v="2009-06-11T00:13:00.000"/>
        <d v="2009-06-13T23:18:00.000"/>
        <d v="2009-06-14T09:13:00.000"/>
        <d v="2009-06-14T23:38:00.000"/>
        <d v="2009-06-17T20:28:00.000"/>
        <d v="2009-06-26T08:02:00.000"/>
        <d v="2009-06-29T11:56:00.000"/>
        <d v="2009-06-30T01:18:00.000"/>
        <d v="2009-06-30T15:49:00.000"/>
        <d v="2009-07-15T10:42:00.000"/>
        <d v="2009-07-19T20:32:00.000"/>
        <d v="2009-08-16T22:33:00.000"/>
        <d v="2009-08-17T21:24:00.000"/>
      </sharedItems>
    </cacheField>
    <cacheField name="End2">
      <sharedItems containsDate="1" containsString="0" containsBlank="1" containsMixedTypes="0" count="23">
        <d v="2009-05-29T12:11:00.000"/>
        <d v="2009-05-30T19:29:00.000"/>
        <m/>
        <d v="2009-06-03T15:45:00.000"/>
        <d v="2009-06-03T23:14:00.000"/>
        <d v="2009-06-05T02:42:00.000"/>
        <d v="2009-06-06T09:31:00.000"/>
        <d v="2009-06-10T17:41:00.000"/>
        <d v="2009-06-10T20:20:00.000"/>
        <d v="2009-06-11T02:10:00.000"/>
        <d v="2009-06-11T00:13:00.000"/>
        <d v="2009-06-13T23:42:00.000"/>
        <d v="2009-06-14T09:43:00.000"/>
        <d v="2009-06-15T01:59:00.000"/>
        <d v="2009-06-18T03:09:00.000"/>
        <d v="2009-06-26T08:42:00.000"/>
        <d v="2009-06-29T13:09:00.000"/>
        <d v="2009-06-30T07:39:00.000"/>
        <d v="2009-06-30T17:38:00.000"/>
        <d v="2009-07-15T10:59:00.000"/>
        <d v="2009-07-19T23:01:00.000"/>
        <d v="2009-08-17T02:09:00.000"/>
        <d v="2009-08-17T21:56:00.000"/>
      </sharedItems>
    </cacheField>
    <cacheField name="User &#10;Length">
      <sharedItems containsString="0" containsBlank="1" containsMixedTypes="0" containsNumber="1" count="29">
        <n v="8.299999999988358"/>
        <n v="0.48333333333721384"/>
        <n v="0"/>
        <n v="8.783333333325572"/>
        <n v="0.3666666666395031"/>
        <n v="0.2166666666744277"/>
        <n v="5.700000000069849"/>
        <n v="0.41666666662786156"/>
        <n v="6.7000000000116415"/>
        <n v="0.4500000000698492"/>
        <n v="0.6333333333022892"/>
        <n v="2.9500000000116415"/>
        <m/>
        <n v="0.4000000000814907"/>
        <n v="0.5000000000582077"/>
        <n v="2.349999999976717"/>
        <n v="7.283333333500195"/>
        <n v="6.683333333290648"/>
        <n v="0.6666666667442769"/>
        <n v="1.216666666790843"/>
        <n v="6.349999999918509"/>
        <n v="1.8166666666511446"/>
        <n v="10.050000000104774"/>
        <n v="0.28333333338378"/>
        <n v="2.4833333332207985"/>
        <n v="2.7666666666045785"/>
        <n v="3.6000000000349246"/>
        <n v="0.5333333333255723"/>
        <n v="4.133333333360497"/>
      </sharedItems>
    </cacheField>
    <cacheField name="System&#10;Length">
      <sharedItems containsString="0" containsBlank="1" containsMixedTypes="0" containsNumber="1" count="30">
        <n v="8.299999999988358"/>
        <n v="0.48333333333721384"/>
        <n v="0"/>
        <n v="8.783333333325572"/>
        <n v="0.3666666666395031"/>
        <n v="0.2166666666744277"/>
        <n v="5.700000000069849"/>
        <n v="0.41666666662786156"/>
        <n v="6.7000000000116415"/>
        <n v="0.4500000000698492"/>
        <n v="0.6333333333022892"/>
        <m/>
        <n v="0.9999999999417923"/>
        <n v="1.9500000000698492"/>
        <n v="0.4000000000814907"/>
        <n v="0.5000000000582077"/>
        <n v="2.349999999976717"/>
        <n v="7.283333333500195"/>
        <n v="6.683333333290648"/>
        <n v="0.6666666667442769"/>
        <n v="1.216666666790843"/>
        <n v="6.349999999918509"/>
        <n v="1.8166666666511446"/>
        <n v="10.050000000104774"/>
        <n v="0.28333333338378"/>
        <n v="2.4833333332207985"/>
        <n v="2.7666666666045785"/>
        <n v="3.6000000000349246"/>
        <n v="0.5333333333255723"/>
        <n v="4.133333333360497"/>
      </sharedItems>
    </cacheField>
    <cacheField name="Cause">
      <sharedItems containsBlank="1" containsMixedTypes="0" count="8">
        <s v="RF"/>
        <m/>
        <s v="UNK"/>
        <s v="PS"/>
        <s v="AOP"/>
        <s v="DIA"/>
        <s v="SI"/>
        <s v="UES"/>
      </sharedItems>
    </cacheField>
    <cacheField name="System">
      <sharedItems containsBlank="1" containsMixedTypes="0" count="8">
        <s v="RF"/>
        <m/>
        <s v="UNK"/>
        <s v="PS"/>
        <s v="AOP"/>
        <s v="DIA"/>
        <s v="SI"/>
        <s v="UES"/>
      </sharedItems>
    </cacheField>
    <cacheField name="Group">
      <sharedItems containsBlank="1" containsMixedTypes="0" count="8">
        <s v="RF"/>
        <m/>
        <s v="UNK"/>
        <s v="PS"/>
        <s v="AOP"/>
        <s v="DIA"/>
        <s v="SI"/>
        <s v="UES"/>
      </sharedItems>
    </cacheField>
    <cacheField name="Type">
      <sharedItems containsBlank="1" containsMixedTypes="0" count="5">
        <s v="Store Lost"/>
        <s v="Scheduled"/>
        <m/>
        <s v="Intentional dump"/>
        <s v="Inhibits beam to user"/>
      </sharedItems>
    </cacheField>
    <cacheField name="Description">
      <sharedItems containsBlank="1" containsMixedTypes="0" count="7">
        <s v="Subsequent fills &lt;1 hour with same cause"/>
        <m/>
        <s v="Kystron heater temp raised, reset and refilled"/>
        <s v="Switch to RF1 providing, AOP 1.95 hrs, RF 1 hour"/>
        <s v="Second trip, waveguide switch"/>
        <s v="Waveguide switch, refill"/>
        <s v="2nd trip, LMPS module swap, validation"/>
      </sharedItems>
    </cacheField>
    <cacheField name="Store Lost">
      <sharedItems containsMixedTypes="1" containsNumber="1" containsInteger="1" count="2">
        <n v="1"/>
        <s v=""/>
      </sharedItems>
    </cacheField>
    <cacheField name="Intention. Dump">
      <sharedItems containsMixedTypes="0" count="1">
        <s v=""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9">
        <item x="0"/>
        <item h="1" x="1"/>
        <item x="2"/>
        <item x="3"/>
        <item x="4"/>
        <item x="6"/>
        <item x="5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8">
    <i>
      <x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4">
    <dataField name="Sum - Inhibits Beam" fld="18" baseField="0" baseItem="0"/>
    <dataField name="Sum - Intention. Dump" fld="17" baseField="0" baseItem="0"/>
    <dataField name="Sum - Store Lost" fld="16" baseField="0" baseItem="0"/>
    <dataField name="Sum of System&#10;Length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5"/>
  <sheetViews>
    <sheetView tabSelected="1" zoomScale="75" zoomScaleNormal="75" workbookViewId="0" topLeftCell="A1">
      <pane ySplit="5" topLeftCell="BM7" activePane="bottomLeft" state="frozen"/>
      <selection pane="topLeft" activeCell="A1" sqref="A1"/>
      <selection pane="bottomLeft" activeCell="N22" sqref="N22"/>
    </sheetView>
  </sheetViews>
  <sheetFormatPr defaultColWidth="9.140625" defaultRowHeight="12.75"/>
  <cols>
    <col min="1" max="1" width="6.8515625" style="1" customWidth="1"/>
    <col min="2" max="2" width="16.140625" style="2" customWidth="1"/>
    <col min="3" max="3" width="14.421875" style="2" customWidth="1"/>
    <col min="4" max="4" width="8.28125" style="3" customWidth="1"/>
    <col min="5" max="5" width="27.57421875" style="4" customWidth="1"/>
    <col min="6" max="6" width="9.421875" style="5" customWidth="1"/>
    <col min="7" max="7" width="3.28125" style="6" customWidth="1"/>
    <col min="8" max="8" width="14.421875" style="7" customWidth="1"/>
    <col min="9" max="9" width="14.28125" style="7" customWidth="1"/>
    <col min="10" max="10" width="7.7109375" style="3" customWidth="1"/>
    <col min="11" max="11" width="7.8515625" style="8" customWidth="1"/>
    <col min="12" max="12" width="11.421875" style="9" customWidth="1"/>
    <col min="13" max="13" width="13.28125" style="10" customWidth="1"/>
    <col min="14" max="14" width="11.421875" style="10" customWidth="1"/>
    <col min="15" max="15" width="22.00390625" style="9" customWidth="1"/>
    <col min="16" max="16" width="69.28125" style="11" customWidth="1"/>
    <col min="17" max="19" width="5.8515625" style="12" customWidth="1"/>
    <col min="20" max="16384" width="9.14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4">
      <c r="A2" s="184" t="s">
        <v>96</v>
      </c>
      <c r="B2" s="184"/>
      <c r="C2" s="184"/>
      <c r="D2" s="184"/>
      <c r="E2" s="184"/>
      <c r="F2" s="184"/>
      <c r="G2" s="184"/>
      <c r="H2" s="184"/>
      <c r="I2" s="184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12.75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81" customHeight="1">
      <c r="A5" s="31" t="s">
        <v>3</v>
      </c>
      <c r="B5" s="32" t="s">
        <v>4</v>
      </c>
      <c r="C5" s="32" t="s">
        <v>5</v>
      </c>
      <c r="D5" s="33" t="s">
        <v>6</v>
      </c>
      <c r="E5" s="34" t="s">
        <v>7</v>
      </c>
      <c r="F5" s="31" t="s">
        <v>8</v>
      </c>
      <c r="G5" s="35" t="s">
        <v>9</v>
      </c>
      <c r="H5" s="32" t="s">
        <v>4</v>
      </c>
      <c r="I5" s="32" t="s">
        <v>5</v>
      </c>
      <c r="J5" s="36" t="s">
        <v>10</v>
      </c>
      <c r="K5" s="37" t="s">
        <v>11</v>
      </c>
      <c r="L5" s="38" t="s">
        <v>12</v>
      </c>
      <c r="M5" s="39" t="s">
        <v>13</v>
      </c>
      <c r="N5" s="39" t="s">
        <v>14</v>
      </c>
      <c r="O5" s="38" t="s">
        <v>15</v>
      </c>
      <c r="P5" s="40" t="s">
        <v>16</v>
      </c>
      <c r="Q5" s="41" t="s">
        <v>17</v>
      </c>
      <c r="R5" s="41" t="s">
        <v>18</v>
      </c>
      <c r="S5" s="41" t="s">
        <v>19</v>
      </c>
      <c r="T5" s="42" t="s">
        <v>20</v>
      </c>
    </row>
    <row r="6" spans="1:23" s="54" customFormat="1" ht="66">
      <c r="A6" s="43">
        <v>1</v>
      </c>
      <c r="B6" s="44">
        <v>39960.333333333336</v>
      </c>
      <c r="C6" s="44">
        <v>39962.16180555556</v>
      </c>
      <c r="D6" s="45">
        <f>(C6-B6)*24</f>
        <v>43.8833333333605</v>
      </c>
      <c r="E6" s="46" t="s">
        <v>21</v>
      </c>
      <c r="F6" s="47" t="s">
        <v>22</v>
      </c>
      <c r="G6" s="48"/>
      <c r="H6" s="44">
        <v>39962.16180555556</v>
      </c>
      <c r="I6" s="44">
        <v>39962.50763888889</v>
      </c>
      <c r="J6" s="45">
        <f>(I6-H6)*24</f>
        <v>8.299999999988358</v>
      </c>
      <c r="K6" s="45">
        <f>(I6-H6)*24</f>
        <v>8.299999999988358</v>
      </c>
      <c r="L6" s="49" t="s">
        <v>23</v>
      </c>
      <c r="M6" s="50" t="s">
        <v>23</v>
      </c>
      <c r="N6" s="50" t="s">
        <v>23</v>
      </c>
      <c r="O6" s="51" t="s">
        <v>17</v>
      </c>
      <c r="P6" s="46" t="s">
        <v>24</v>
      </c>
      <c r="Q6" s="52">
        <f aca="true" t="shared" si="0" ref="Q6:Q18">IF($O6="Store Lost",1,"")</f>
        <v>1</v>
      </c>
      <c r="R6" s="52">
        <f aca="true" t="shared" si="1" ref="R6:R50">IF($L6="Scheduled",1,"")</f>
      </c>
      <c r="S6" s="52">
        <f aca="true" t="shared" si="2" ref="S6:S50">IF($O6="Inhibits beam to user",1,"")</f>
      </c>
      <c r="T6" s="53">
        <f aca="true" t="shared" si="3" ref="T6:T42">SUM(Q6:S6)</f>
        <v>1</v>
      </c>
      <c r="U6" s="30"/>
      <c r="V6" s="30"/>
      <c r="W6" s="30"/>
    </row>
    <row r="7" spans="1:23" s="64" customFormat="1" ht="12.75">
      <c r="A7" s="55">
        <v>6</v>
      </c>
      <c r="B7" s="56">
        <v>39962.50763888889</v>
      </c>
      <c r="C7" s="56">
        <v>39963.791666666664</v>
      </c>
      <c r="D7" s="57">
        <f>(C7-B7)*24</f>
        <v>30.81666666653473</v>
      </c>
      <c r="E7" s="58" t="s">
        <v>25</v>
      </c>
      <c r="F7" s="59">
        <v>105522</v>
      </c>
      <c r="G7" s="60"/>
      <c r="H7" s="56">
        <v>39963.791666666664</v>
      </c>
      <c r="I7" s="56">
        <v>39963.81180555555</v>
      </c>
      <c r="J7" s="57">
        <f>(I7-H7)*24</f>
        <v>0.48333333333721384</v>
      </c>
      <c r="K7" s="57">
        <f>(I7-H7)*24</f>
        <v>0.48333333333721384</v>
      </c>
      <c r="L7" s="61" t="s">
        <v>23</v>
      </c>
      <c r="M7" s="61" t="s">
        <v>23</v>
      </c>
      <c r="N7" s="61" t="s">
        <v>23</v>
      </c>
      <c r="O7" s="62" t="s">
        <v>17</v>
      </c>
      <c r="P7" s="58"/>
      <c r="Q7" s="52">
        <f t="shared" si="0"/>
        <v>1</v>
      </c>
      <c r="R7" s="52">
        <f t="shared" si="1"/>
      </c>
      <c r="S7" s="52">
        <f t="shared" si="2"/>
      </c>
      <c r="T7" s="53">
        <f t="shared" si="3"/>
        <v>1</v>
      </c>
      <c r="U7" s="63"/>
      <c r="V7" s="63"/>
      <c r="W7" s="63"/>
    </row>
    <row r="8" spans="1:23" s="54" customFormat="1" ht="12.75">
      <c r="A8" s="43">
        <v>7</v>
      </c>
      <c r="B8" s="44">
        <v>39963.81180555555</v>
      </c>
      <c r="C8" s="44">
        <v>39966.333333333336</v>
      </c>
      <c r="D8" s="45">
        <f>(C8-B8)*24</f>
        <v>60.5166666667792</v>
      </c>
      <c r="E8" s="46" t="s">
        <v>26</v>
      </c>
      <c r="F8" s="47"/>
      <c r="G8" s="48"/>
      <c r="H8" s="44"/>
      <c r="I8" s="44"/>
      <c r="J8" s="45">
        <f>(I8-H8)*24</f>
        <v>0</v>
      </c>
      <c r="K8" s="45">
        <f>(I8-H8)*24</f>
        <v>0</v>
      </c>
      <c r="M8" s="49"/>
      <c r="N8" s="49"/>
      <c r="O8" s="51" t="s">
        <v>27</v>
      </c>
      <c r="P8" s="46"/>
      <c r="Q8" s="52">
        <f t="shared" si="0"/>
      </c>
      <c r="R8" s="52">
        <f t="shared" si="1"/>
      </c>
      <c r="S8" s="52">
        <f t="shared" si="2"/>
      </c>
      <c r="T8" s="53">
        <f t="shared" si="3"/>
        <v>0</v>
      </c>
      <c r="U8" s="30"/>
      <c r="V8" s="30"/>
      <c r="W8" s="30"/>
    </row>
    <row r="9" spans="1:23" s="54" customFormat="1" ht="12.75">
      <c r="A9" s="65"/>
      <c r="B9" s="66"/>
      <c r="C9" s="66"/>
      <c r="D9" s="67">
        <f>SUM(D6:D8)</f>
        <v>135.21666666667443</v>
      </c>
      <c r="E9" s="68"/>
      <c r="F9" s="69"/>
      <c r="G9" s="70"/>
      <c r="H9" s="66"/>
      <c r="I9" s="66"/>
      <c r="J9" s="67">
        <f>SUM(J6:J8)</f>
        <v>8.783333333325572</v>
      </c>
      <c r="K9" s="67">
        <f>SUM(K6:K8)</f>
        <v>8.783333333325572</v>
      </c>
      <c r="L9" s="71"/>
      <c r="M9" s="72"/>
      <c r="N9" s="72"/>
      <c r="O9" s="73"/>
      <c r="P9" s="68"/>
      <c r="Q9" s="52">
        <f t="shared" si="0"/>
      </c>
      <c r="R9" s="52">
        <f t="shared" si="1"/>
      </c>
      <c r="S9" s="52">
        <f t="shared" si="2"/>
      </c>
      <c r="T9" s="53">
        <f t="shared" si="3"/>
        <v>0</v>
      </c>
      <c r="U9" s="30"/>
      <c r="V9" s="30"/>
      <c r="W9" s="30"/>
    </row>
    <row r="10" spans="1:23" s="54" customFormat="1" ht="12.75">
      <c r="A10" s="43">
        <v>8</v>
      </c>
      <c r="B10" s="44">
        <v>39967.333333333336</v>
      </c>
      <c r="C10" s="44">
        <v>39967.64097222222</v>
      </c>
      <c r="D10" s="45">
        <f>(C10-B10)*24</f>
        <v>7.383333333302289</v>
      </c>
      <c r="E10" s="74" t="s">
        <v>28</v>
      </c>
      <c r="F10" s="47">
        <v>105524</v>
      </c>
      <c r="G10" s="48"/>
      <c r="H10" s="44">
        <v>39967.64097222222</v>
      </c>
      <c r="I10" s="44">
        <v>39967.65625</v>
      </c>
      <c r="J10" s="45">
        <f>(I10-H10)*24</f>
        <v>0.3666666666395031</v>
      </c>
      <c r="K10" s="45">
        <f>(I10-H10)*24</f>
        <v>0.3666666666395031</v>
      </c>
      <c r="L10" s="49" t="s">
        <v>23</v>
      </c>
      <c r="M10" s="50" t="s">
        <v>23</v>
      </c>
      <c r="N10" s="50" t="s">
        <v>23</v>
      </c>
      <c r="O10" s="51" t="s">
        <v>17</v>
      </c>
      <c r="P10" s="46"/>
      <c r="Q10" s="52">
        <f t="shared" si="0"/>
        <v>1</v>
      </c>
      <c r="R10" s="52">
        <f t="shared" si="1"/>
      </c>
      <c r="S10" s="52">
        <f t="shared" si="2"/>
      </c>
      <c r="T10" s="53">
        <f t="shared" si="3"/>
        <v>1</v>
      </c>
      <c r="U10" s="30"/>
      <c r="V10" s="30"/>
      <c r="W10" s="30"/>
    </row>
    <row r="11" spans="1:23" s="64" customFormat="1" ht="12.75">
      <c r="A11" s="55">
        <v>9</v>
      </c>
      <c r="B11" s="56">
        <v>39967.65625</v>
      </c>
      <c r="C11" s="56">
        <v>39967.959027777775</v>
      </c>
      <c r="D11" s="57">
        <f>(C11-B11)*24</f>
        <v>7.2666666666045785</v>
      </c>
      <c r="E11" s="75" t="s">
        <v>29</v>
      </c>
      <c r="F11" s="59">
        <v>105525</v>
      </c>
      <c r="G11" s="60"/>
      <c r="H11" s="56">
        <v>39967.959027777775</v>
      </c>
      <c r="I11" s="56">
        <v>39967.96805555555</v>
      </c>
      <c r="J11" s="57">
        <f>(I11-H11)*24</f>
        <v>0.2166666666744277</v>
      </c>
      <c r="K11" s="57">
        <f>(I11-H11)*24</f>
        <v>0.2166666666744277</v>
      </c>
      <c r="L11" s="61" t="s">
        <v>30</v>
      </c>
      <c r="M11" s="61" t="s">
        <v>30</v>
      </c>
      <c r="N11" s="61" t="s">
        <v>30</v>
      </c>
      <c r="O11" s="62" t="s">
        <v>17</v>
      </c>
      <c r="P11" s="58"/>
      <c r="Q11" s="52">
        <f t="shared" si="0"/>
        <v>1</v>
      </c>
      <c r="R11" s="52">
        <f t="shared" si="1"/>
      </c>
      <c r="S11" s="52">
        <f t="shared" si="2"/>
      </c>
      <c r="T11" s="53">
        <f t="shared" si="3"/>
        <v>1</v>
      </c>
      <c r="U11" s="63"/>
      <c r="V11" s="63"/>
      <c r="W11" s="63"/>
    </row>
    <row r="12" spans="1:23" s="54" customFormat="1" ht="12.75">
      <c r="A12" s="43">
        <v>10</v>
      </c>
      <c r="B12" s="44">
        <v>39967.96805555555</v>
      </c>
      <c r="C12" s="44">
        <v>39968.875</v>
      </c>
      <c r="D12" s="45">
        <f>(C12-B12)*24</f>
        <v>21.766666666720994</v>
      </c>
      <c r="E12" s="76" t="s">
        <v>31</v>
      </c>
      <c r="F12" s="47">
        <v>105526</v>
      </c>
      <c r="G12" s="48"/>
      <c r="H12" s="44">
        <v>39968.875</v>
      </c>
      <c r="I12" s="44">
        <v>39969.1125</v>
      </c>
      <c r="J12" s="45">
        <f>(I12-H12)*24</f>
        <v>5.700000000069849</v>
      </c>
      <c r="K12" s="45">
        <f>(I12-H12)*24</f>
        <v>5.700000000069849</v>
      </c>
      <c r="L12" s="49" t="s">
        <v>32</v>
      </c>
      <c r="M12" s="50" t="s">
        <v>32</v>
      </c>
      <c r="N12" s="50" t="s">
        <v>32</v>
      </c>
      <c r="O12" s="51" t="s">
        <v>17</v>
      </c>
      <c r="P12" s="46"/>
      <c r="Q12" s="77">
        <f t="shared" si="0"/>
        <v>1</v>
      </c>
      <c r="R12" s="77">
        <f t="shared" si="1"/>
      </c>
      <c r="S12" s="77">
        <f t="shared" si="2"/>
      </c>
      <c r="T12" s="78">
        <f t="shared" si="3"/>
        <v>1</v>
      </c>
      <c r="U12" s="30"/>
      <c r="V12" s="30"/>
      <c r="W12" s="30"/>
    </row>
    <row r="13" spans="1:23" s="64" customFormat="1" ht="12.75">
      <c r="A13" s="55">
        <v>11</v>
      </c>
      <c r="B13" s="56">
        <v>39969.1125</v>
      </c>
      <c r="C13" s="56">
        <v>39970.379166666666</v>
      </c>
      <c r="D13" s="57">
        <f>(C13-B13)*24</f>
        <v>30.399999999906868</v>
      </c>
      <c r="E13" s="75" t="s">
        <v>33</v>
      </c>
      <c r="F13" s="59">
        <v>105527</v>
      </c>
      <c r="G13" s="60"/>
      <c r="H13" s="56">
        <v>39970.379166666666</v>
      </c>
      <c r="I13" s="56">
        <v>39970.396527777775</v>
      </c>
      <c r="J13" s="57">
        <f>(I13-H13)*24</f>
        <v>0.41666666662786156</v>
      </c>
      <c r="K13" s="57">
        <f>(I13-H13)*24</f>
        <v>0.41666666662786156</v>
      </c>
      <c r="L13" s="61" t="s">
        <v>23</v>
      </c>
      <c r="M13" s="61" t="s">
        <v>23</v>
      </c>
      <c r="N13" s="61" t="s">
        <v>23</v>
      </c>
      <c r="O13" s="62" t="s">
        <v>17</v>
      </c>
      <c r="P13" s="58"/>
      <c r="Q13" s="52">
        <f t="shared" si="0"/>
        <v>1</v>
      </c>
      <c r="R13" s="52">
        <f t="shared" si="1"/>
      </c>
      <c r="S13" s="52">
        <f t="shared" si="2"/>
      </c>
      <c r="T13" s="53">
        <f t="shared" si="3"/>
        <v>1</v>
      </c>
      <c r="U13" s="63"/>
      <c r="V13" s="63"/>
      <c r="W13" s="63"/>
    </row>
    <row r="14" spans="1:23" s="54" customFormat="1" ht="12.75">
      <c r="A14" s="43">
        <v>12</v>
      </c>
      <c r="B14" s="44">
        <v>39970.396527777775</v>
      </c>
      <c r="C14" s="44">
        <v>39973.333333333336</v>
      </c>
      <c r="D14" s="45">
        <f>(C14-B14)*24</f>
        <v>70.48333333345363</v>
      </c>
      <c r="E14" s="79" t="s">
        <v>26</v>
      </c>
      <c r="F14" s="47"/>
      <c r="G14" s="48"/>
      <c r="H14" s="44"/>
      <c r="I14" s="44"/>
      <c r="J14" s="45">
        <f>(I14-H14)*24</f>
        <v>0</v>
      </c>
      <c r="K14" s="45">
        <f>(I14-H14)*24</f>
        <v>0</v>
      </c>
      <c r="M14" s="49"/>
      <c r="N14" s="49"/>
      <c r="O14" s="51" t="s">
        <v>27</v>
      </c>
      <c r="P14" s="46"/>
      <c r="Q14" s="77">
        <f t="shared" si="0"/>
      </c>
      <c r="R14" s="77">
        <f t="shared" si="1"/>
      </c>
      <c r="S14" s="77">
        <f t="shared" si="2"/>
      </c>
      <c r="T14" s="78">
        <f t="shared" si="3"/>
        <v>0</v>
      </c>
      <c r="U14" s="30"/>
      <c r="V14" s="30"/>
      <c r="W14" s="30"/>
    </row>
    <row r="15" spans="1:23" s="54" customFormat="1" ht="12.75">
      <c r="A15" s="65"/>
      <c r="B15" s="66"/>
      <c r="C15" s="66"/>
      <c r="D15" s="67">
        <f>SUM(D10:D14)</f>
        <v>137.29999999998836</v>
      </c>
      <c r="E15" s="68"/>
      <c r="F15" s="69"/>
      <c r="G15" s="70"/>
      <c r="H15" s="66"/>
      <c r="I15" s="66"/>
      <c r="J15" s="67">
        <f>SUM(J10:J14)</f>
        <v>6.7000000000116415</v>
      </c>
      <c r="K15" s="67">
        <f>SUM(K10:K14)</f>
        <v>6.7000000000116415</v>
      </c>
      <c r="L15" s="71"/>
      <c r="M15" s="72"/>
      <c r="N15" s="72"/>
      <c r="O15" s="73"/>
      <c r="P15" s="68"/>
      <c r="Q15" s="52">
        <f t="shared" si="0"/>
      </c>
      <c r="R15" s="52">
        <f t="shared" si="1"/>
      </c>
      <c r="S15" s="52">
        <f t="shared" si="2"/>
      </c>
      <c r="T15" s="53">
        <f t="shared" si="3"/>
        <v>0</v>
      </c>
      <c r="U15" s="30"/>
      <c r="V15" s="30"/>
      <c r="W15" s="30"/>
    </row>
    <row r="16" spans="1:23" s="54" customFormat="1" ht="12.75">
      <c r="A16" s="43">
        <v>13</v>
      </c>
      <c r="B16" s="44">
        <v>39974.333333333336</v>
      </c>
      <c r="C16" s="44">
        <v>39974.71805555555</v>
      </c>
      <c r="D16" s="45">
        <f>(C16-B16)*24</f>
        <v>9.233333333220799</v>
      </c>
      <c r="E16" s="76" t="s">
        <v>34</v>
      </c>
      <c r="F16" s="47">
        <v>105529</v>
      </c>
      <c r="G16" s="48"/>
      <c r="H16" s="44">
        <v>39974.71805555555</v>
      </c>
      <c r="I16" s="44">
        <v>39974.736805555556</v>
      </c>
      <c r="J16" s="45">
        <f>(I16-H16)*24</f>
        <v>0.4500000000698492</v>
      </c>
      <c r="K16" s="45">
        <f>(I16-H16)*24</f>
        <v>0.4500000000698492</v>
      </c>
      <c r="L16" s="49" t="s">
        <v>23</v>
      </c>
      <c r="M16" s="50" t="s">
        <v>23</v>
      </c>
      <c r="N16" s="50" t="s">
        <v>23</v>
      </c>
      <c r="O16" s="51" t="s">
        <v>17</v>
      </c>
      <c r="P16" s="79"/>
      <c r="Q16" s="52">
        <f t="shared" si="0"/>
        <v>1</v>
      </c>
      <c r="R16" s="52">
        <f t="shared" si="1"/>
      </c>
      <c r="S16" s="52">
        <f t="shared" si="2"/>
      </c>
      <c r="T16" s="53">
        <f t="shared" si="3"/>
        <v>1</v>
      </c>
      <c r="U16" s="30"/>
      <c r="V16" s="30"/>
      <c r="W16" s="30"/>
    </row>
    <row r="17" spans="1:23" s="64" customFormat="1" ht="12.75">
      <c r="A17" s="55">
        <v>14</v>
      </c>
      <c r="B17" s="56">
        <v>39974.736805555556</v>
      </c>
      <c r="C17" s="56">
        <v>39974.82083333333</v>
      </c>
      <c r="D17" s="57">
        <f>(C17-B17)*24</f>
        <v>2.0166666666045785</v>
      </c>
      <c r="E17" s="75" t="s">
        <v>35</v>
      </c>
      <c r="F17" s="59">
        <v>105530</v>
      </c>
      <c r="G17" s="60"/>
      <c r="H17" s="56">
        <v>39974.82083333333</v>
      </c>
      <c r="I17" s="56">
        <v>39974.84722222222</v>
      </c>
      <c r="J17" s="57">
        <f>(I17-H17)*24</f>
        <v>0.6333333333022892</v>
      </c>
      <c r="K17" s="57">
        <f>(I17-H17)*24</f>
        <v>0.6333333333022892</v>
      </c>
      <c r="L17" s="61" t="s">
        <v>30</v>
      </c>
      <c r="M17" s="61" t="s">
        <v>23</v>
      </c>
      <c r="N17" s="61" t="s">
        <v>23</v>
      </c>
      <c r="O17" s="62" t="s">
        <v>17</v>
      </c>
      <c r="P17" s="75" t="s">
        <v>36</v>
      </c>
      <c r="Q17" s="52">
        <f t="shared" si="0"/>
        <v>1</v>
      </c>
      <c r="R17" s="52">
        <f t="shared" si="1"/>
      </c>
      <c r="S17" s="52">
        <f t="shared" si="2"/>
      </c>
      <c r="T17" s="53">
        <f t="shared" si="3"/>
        <v>1</v>
      </c>
      <c r="U17" s="63"/>
      <c r="V17" s="63"/>
      <c r="W17" s="63"/>
    </row>
    <row r="18" spans="1:23" s="54" customFormat="1" ht="12.75">
      <c r="A18" s="43">
        <v>15</v>
      </c>
      <c r="B18" s="44">
        <v>39974.84722222222</v>
      </c>
      <c r="C18" s="44">
        <v>39974.967361111114</v>
      </c>
      <c r="D18" s="45">
        <f>(C18-B18)*24</f>
        <v>2.8833333334769122</v>
      </c>
      <c r="E18" s="76" t="s">
        <v>37</v>
      </c>
      <c r="F18" s="47">
        <v>105531</v>
      </c>
      <c r="G18" s="48"/>
      <c r="H18" s="44">
        <v>39974.967361111114</v>
      </c>
      <c r="I18" s="44">
        <v>39975.09027777778</v>
      </c>
      <c r="J18" s="45">
        <f>(I18-H18)*24</f>
        <v>2.9500000000116415</v>
      </c>
      <c r="K18" s="45"/>
      <c r="L18" s="49"/>
      <c r="M18" s="50"/>
      <c r="N18" s="50"/>
      <c r="O18" s="51"/>
      <c r="P18" s="74" t="s">
        <v>38</v>
      </c>
      <c r="Q18" s="52">
        <f t="shared" si="0"/>
      </c>
      <c r="R18" s="52">
        <f t="shared" si="1"/>
      </c>
      <c r="S18" s="52">
        <f t="shared" si="2"/>
      </c>
      <c r="T18" s="53">
        <f t="shared" si="3"/>
        <v>0</v>
      </c>
      <c r="U18" s="30"/>
      <c r="V18" s="30"/>
      <c r="W18" s="30"/>
    </row>
    <row r="19" spans="1:20" ht="14.25" customHeight="1">
      <c r="A19" s="80"/>
      <c r="B19" s="79"/>
      <c r="C19" s="79"/>
      <c r="D19" s="81"/>
      <c r="E19" s="82"/>
      <c r="F19" s="83"/>
      <c r="G19" s="84"/>
      <c r="H19" s="85">
        <v>39974.967361111114</v>
      </c>
      <c r="I19" s="86">
        <v>39975.00902777778</v>
      </c>
      <c r="J19" s="87"/>
      <c r="K19" s="88">
        <f aca="true" t="shared" si="4" ref="K19:K24">(I19-H19)*24</f>
        <v>0.9999999999417923</v>
      </c>
      <c r="L19" s="85" t="s">
        <v>39</v>
      </c>
      <c r="M19" s="89" t="s">
        <v>39</v>
      </c>
      <c r="N19" s="90" t="s">
        <v>39</v>
      </c>
      <c r="O19" s="91" t="s">
        <v>40</v>
      </c>
      <c r="P19" s="92"/>
      <c r="Q19" s="52">
        <f>IF($O19="Intentional dump",1,"")</f>
        <v>1</v>
      </c>
      <c r="R19" s="52">
        <f t="shared" si="1"/>
      </c>
      <c r="S19" s="52">
        <f t="shared" si="2"/>
      </c>
      <c r="T19" s="53">
        <f t="shared" si="3"/>
        <v>1</v>
      </c>
    </row>
    <row r="20" spans="1:20" ht="12.75">
      <c r="A20" s="80"/>
      <c r="B20" s="79"/>
      <c r="C20" s="79"/>
      <c r="D20" s="93"/>
      <c r="E20" s="82"/>
      <c r="F20" s="83"/>
      <c r="G20" s="84"/>
      <c r="H20" s="94">
        <v>39975.00902777778</v>
      </c>
      <c r="I20" s="95">
        <v>39975.09027777778</v>
      </c>
      <c r="J20" s="96"/>
      <c r="K20" s="97">
        <f t="shared" si="4"/>
        <v>1.9500000000698492</v>
      </c>
      <c r="L20" s="98" t="s">
        <v>23</v>
      </c>
      <c r="M20" s="99" t="s">
        <v>23</v>
      </c>
      <c r="N20" s="100" t="s">
        <v>23</v>
      </c>
      <c r="O20" s="101" t="s">
        <v>41</v>
      </c>
      <c r="P20" s="102"/>
      <c r="Q20" s="52">
        <f aca="true" t="shared" si="5" ref="Q20:Q51">IF($O20="Store Lost",1,"")</f>
      </c>
      <c r="R20" s="52">
        <f t="shared" si="1"/>
      </c>
      <c r="S20" s="52">
        <f t="shared" si="2"/>
        <v>1</v>
      </c>
      <c r="T20" s="53">
        <f t="shared" si="3"/>
        <v>1</v>
      </c>
    </row>
    <row r="21" spans="1:23" s="64" customFormat="1" ht="12.75">
      <c r="A21" s="55">
        <v>16</v>
      </c>
      <c r="B21" s="56">
        <v>39975.09027777778</v>
      </c>
      <c r="C21" s="56">
        <v>39977.97083333333</v>
      </c>
      <c r="D21" s="57">
        <f>(C21-B21)*24</f>
        <v>69.13333333324408</v>
      </c>
      <c r="E21" s="75" t="s">
        <v>42</v>
      </c>
      <c r="F21" s="59">
        <v>105532</v>
      </c>
      <c r="G21" s="60"/>
      <c r="H21" s="56">
        <v>39977.97083333333</v>
      </c>
      <c r="I21" s="56">
        <v>39977.9875</v>
      </c>
      <c r="J21" s="57">
        <f>(I21-H21)*24</f>
        <v>0.4000000000814907</v>
      </c>
      <c r="K21" s="57">
        <f t="shared" si="4"/>
        <v>0.4000000000814907</v>
      </c>
      <c r="L21" s="61" t="s">
        <v>23</v>
      </c>
      <c r="M21" s="61" t="s">
        <v>23</v>
      </c>
      <c r="N21" s="61" t="s">
        <v>23</v>
      </c>
      <c r="O21" s="62" t="s">
        <v>17</v>
      </c>
      <c r="P21" s="103"/>
      <c r="Q21" s="52">
        <f t="shared" si="5"/>
        <v>1</v>
      </c>
      <c r="R21" s="52">
        <f t="shared" si="1"/>
      </c>
      <c r="S21" s="52">
        <f t="shared" si="2"/>
      </c>
      <c r="T21" s="53">
        <f t="shared" si="3"/>
        <v>1</v>
      </c>
      <c r="U21" s="63"/>
      <c r="V21" s="63"/>
      <c r="W21" s="63"/>
    </row>
    <row r="22" spans="1:23" s="54" customFormat="1" ht="12.75">
      <c r="A22" s="43">
        <v>17</v>
      </c>
      <c r="B22" s="44">
        <v>39977.9875</v>
      </c>
      <c r="C22" s="44">
        <v>39978.38402777778</v>
      </c>
      <c r="D22" s="45">
        <f>(C22-B22)*24</f>
        <v>9.516666666604578</v>
      </c>
      <c r="E22" s="185" t="s">
        <v>103</v>
      </c>
      <c r="F22" s="47">
        <v>1055334</v>
      </c>
      <c r="G22" s="48"/>
      <c r="H22" s="44">
        <v>39978.38402777778</v>
      </c>
      <c r="I22" s="44">
        <v>39978.404861111114</v>
      </c>
      <c r="J22" s="45">
        <f>(I22-H22)*24</f>
        <v>0.5000000000582077</v>
      </c>
      <c r="K22" s="45">
        <f t="shared" si="4"/>
        <v>0.5000000000582077</v>
      </c>
      <c r="L22" s="162" t="s">
        <v>53</v>
      </c>
      <c r="M22" s="163" t="s">
        <v>53</v>
      </c>
      <c r="N22" s="163" t="s">
        <v>53</v>
      </c>
      <c r="O22" s="51" t="s">
        <v>17</v>
      </c>
      <c r="P22" s="79"/>
      <c r="Q22" s="77">
        <f t="shared" si="5"/>
        <v>1</v>
      </c>
      <c r="R22" s="77">
        <f t="shared" si="1"/>
      </c>
      <c r="S22" s="77">
        <f t="shared" si="2"/>
      </c>
      <c r="T22" s="78">
        <f t="shared" si="3"/>
        <v>1</v>
      </c>
      <c r="U22" s="30"/>
      <c r="V22" s="30"/>
      <c r="W22" s="30"/>
    </row>
    <row r="23" spans="1:23" s="64" customFormat="1" ht="26.25">
      <c r="A23" s="55">
        <v>18</v>
      </c>
      <c r="B23" s="56">
        <v>39978.404861111114</v>
      </c>
      <c r="C23" s="56">
        <v>39978.98472222222</v>
      </c>
      <c r="D23" s="57">
        <f>(C23-B23)*24</f>
        <v>13.916666666627862</v>
      </c>
      <c r="E23" s="75" t="s">
        <v>42</v>
      </c>
      <c r="F23" s="104" t="s">
        <v>43</v>
      </c>
      <c r="G23" s="60"/>
      <c r="H23" s="56">
        <v>39978.98472222222</v>
      </c>
      <c r="I23" s="56">
        <v>39979.08263888889</v>
      </c>
      <c r="J23" s="57">
        <f>(I23-H23)*24</f>
        <v>2.349999999976717</v>
      </c>
      <c r="K23" s="57">
        <f t="shared" si="4"/>
        <v>2.349999999976717</v>
      </c>
      <c r="L23" s="61" t="s">
        <v>23</v>
      </c>
      <c r="M23" s="61" t="s">
        <v>23</v>
      </c>
      <c r="N23" s="61" t="s">
        <v>23</v>
      </c>
      <c r="O23" s="62" t="s">
        <v>17</v>
      </c>
      <c r="P23" s="75" t="s">
        <v>44</v>
      </c>
      <c r="Q23" s="52">
        <f t="shared" si="5"/>
        <v>1</v>
      </c>
      <c r="R23" s="52">
        <f t="shared" si="1"/>
      </c>
      <c r="S23" s="52">
        <f t="shared" si="2"/>
      </c>
      <c r="T23" s="53">
        <f t="shared" si="3"/>
        <v>1</v>
      </c>
      <c r="U23" s="63"/>
      <c r="V23" s="63"/>
      <c r="W23" s="63"/>
    </row>
    <row r="24" spans="1:23" s="54" customFormat="1" ht="12.75">
      <c r="A24" s="43">
        <v>20</v>
      </c>
      <c r="B24" s="44">
        <v>39979.08263888889</v>
      </c>
      <c r="C24" s="44">
        <v>39980.333333333336</v>
      </c>
      <c r="D24" s="45">
        <f>(C24-B24)*24</f>
        <v>30.016666666720994</v>
      </c>
      <c r="E24" s="79" t="s">
        <v>26</v>
      </c>
      <c r="F24" s="47"/>
      <c r="G24" s="48"/>
      <c r="H24" s="44"/>
      <c r="I24" s="44"/>
      <c r="J24" s="45">
        <f>(I24-H24)*24</f>
        <v>0</v>
      </c>
      <c r="K24" s="45">
        <f t="shared" si="4"/>
        <v>0</v>
      </c>
      <c r="M24" s="49"/>
      <c r="N24" s="49"/>
      <c r="O24" s="51" t="s">
        <v>27</v>
      </c>
      <c r="P24" s="79"/>
      <c r="Q24" s="77">
        <f t="shared" si="5"/>
      </c>
      <c r="R24" s="77">
        <f t="shared" si="1"/>
      </c>
      <c r="S24" s="77">
        <f t="shared" si="2"/>
      </c>
      <c r="T24" s="78">
        <f t="shared" si="3"/>
        <v>0</v>
      </c>
      <c r="U24" s="30"/>
      <c r="V24" s="30"/>
      <c r="W24" s="30"/>
    </row>
    <row r="25" spans="1:23" s="54" customFormat="1" ht="12.75">
      <c r="A25" s="65"/>
      <c r="B25" s="66"/>
      <c r="C25" s="66"/>
      <c r="D25" s="67">
        <f>SUM(D16:D24)</f>
        <v>136.7166666664998</v>
      </c>
      <c r="E25" s="68"/>
      <c r="F25" s="69"/>
      <c r="G25" s="70"/>
      <c r="H25" s="66"/>
      <c r="I25" s="66"/>
      <c r="J25" s="67">
        <f>SUM(J16:J24)</f>
        <v>7.283333333500195</v>
      </c>
      <c r="K25" s="67">
        <f>SUM(K16:K24)</f>
        <v>7.283333333500195</v>
      </c>
      <c r="L25" s="71"/>
      <c r="M25" s="72"/>
      <c r="N25" s="72"/>
      <c r="O25" s="73"/>
      <c r="P25" s="68"/>
      <c r="Q25" s="52">
        <f t="shared" si="5"/>
      </c>
      <c r="R25" s="52">
        <f t="shared" si="1"/>
      </c>
      <c r="S25" s="52">
        <f t="shared" si="2"/>
      </c>
      <c r="T25" s="53">
        <f t="shared" si="3"/>
        <v>0</v>
      </c>
      <c r="U25" s="30"/>
      <c r="V25" s="30"/>
      <c r="W25" s="30"/>
    </row>
    <row r="26" spans="1:23" s="64" customFormat="1" ht="26.25">
      <c r="A26" s="55">
        <v>21</v>
      </c>
      <c r="B26" s="56">
        <v>39981.333333333336</v>
      </c>
      <c r="C26" s="56">
        <v>39981.85277777778</v>
      </c>
      <c r="D26" s="57">
        <f>(C26-B26)*24</f>
        <v>12.46666666661622</v>
      </c>
      <c r="E26" s="105" t="s">
        <v>45</v>
      </c>
      <c r="F26" s="104" t="s">
        <v>46</v>
      </c>
      <c r="G26" s="60"/>
      <c r="H26" s="56">
        <v>39981.85277777778</v>
      </c>
      <c r="I26" s="56">
        <v>39982.13125</v>
      </c>
      <c r="J26" s="57">
        <f>(I26-H26)*24</f>
        <v>6.683333333290648</v>
      </c>
      <c r="K26" s="57">
        <f>(I26-H26)*24</f>
        <v>6.683333333290648</v>
      </c>
      <c r="L26" s="61" t="s">
        <v>23</v>
      </c>
      <c r="M26" s="61" t="s">
        <v>23</v>
      </c>
      <c r="N26" s="61" t="s">
        <v>23</v>
      </c>
      <c r="O26" s="62" t="s">
        <v>17</v>
      </c>
      <c r="P26" s="58" t="s">
        <v>24</v>
      </c>
      <c r="Q26" s="52">
        <f t="shared" si="5"/>
        <v>1</v>
      </c>
      <c r="R26" s="52">
        <f t="shared" si="1"/>
      </c>
      <c r="S26" s="52">
        <f t="shared" si="2"/>
      </c>
      <c r="T26" s="53">
        <f t="shared" si="3"/>
        <v>1</v>
      </c>
      <c r="U26" s="63"/>
      <c r="V26" s="63"/>
      <c r="W26" s="63"/>
    </row>
    <row r="27" spans="1:23" s="54" customFormat="1" ht="12.75">
      <c r="A27" s="43">
        <v>23</v>
      </c>
      <c r="B27" s="44">
        <v>39982.13125</v>
      </c>
      <c r="C27" s="44">
        <v>39986.333333333336</v>
      </c>
      <c r="D27" s="45">
        <f>(C27-B27)*24</f>
        <v>100.85000000009313</v>
      </c>
      <c r="E27" s="46" t="s">
        <v>26</v>
      </c>
      <c r="F27" s="47"/>
      <c r="G27" s="48"/>
      <c r="H27" s="44"/>
      <c r="I27" s="44"/>
      <c r="J27" s="45">
        <f>(I27-H27)*24</f>
        <v>0</v>
      </c>
      <c r="K27" s="45">
        <f>(I27-H27)*24</f>
        <v>0</v>
      </c>
      <c r="M27" s="49"/>
      <c r="N27" s="49"/>
      <c r="O27" s="51" t="s">
        <v>27</v>
      </c>
      <c r="P27" s="46"/>
      <c r="Q27" s="52">
        <f t="shared" si="5"/>
      </c>
      <c r="R27" s="52">
        <f t="shared" si="1"/>
      </c>
      <c r="S27" s="52">
        <f t="shared" si="2"/>
      </c>
      <c r="T27" s="53">
        <f t="shared" si="3"/>
        <v>0</v>
      </c>
      <c r="U27" s="30"/>
      <c r="V27" s="30"/>
      <c r="W27" s="30"/>
    </row>
    <row r="28" spans="1:23" s="54" customFormat="1" ht="12.75">
      <c r="A28" s="65"/>
      <c r="B28" s="66"/>
      <c r="C28" s="66"/>
      <c r="D28" s="67">
        <f>SUM(D26:D27)</f>
        <v>113.31666666670935</v>
      </c>
      <c r="E28" s="68"/>
      <c r="F28" s="69"/>
      <c r="G28" s="70"/>
      <c r="H28" s="66"/>
      <c r="I28" s="66"/>
      <c r="J28" s="67">
        <f>SUM(J26:J27)</f>
        <v>6.683333333290648</v>
      </c>
      <c r="K28" s="67">
        <f>SUM(K26:K27)</f>
        <v>6.683333333290648</v>
      </c>
      <c r="L28" s="71"/>
      <c r="M28" s="72"/>
      <c r="N28" s="72"/>
      <c r="O28" s="73"/>
      <c r="P28" s="68"/>
      <c r="Q28" s="52">
        <f t="shared" si="5"/>
      </c>
      <c r="R28" s="52">
        <f t="shared" si="1"/>
      </c>
      <c r="S28" s="52">
        <f t="shared" si="2"/>
      </c>
      <c r="T28" s="53">
        <f t="shared" si="3"/>
        <v>0</v>
      </c>
      <c r="U28" s="30"/>
      <c r="V28" s="30"/>
      <c r="W28" s="30"/>
    </row>
    <row r="29" spans="1:23" s="54" customFormat="1" ht="12.75">
      <c r="A29" s="43">
        <v>24</v>
      </c>
      <c r="B29" s="44">
        <v>39988.333333333336</v>
      </c>
      <c r="C29" s="44">
        <v>39990.33472222222</v>
      </c>
      <c r="D29" s="45">
        <f>(C29-B29)*24</f>
        <v>48.033333333267365</v>
      </c>
      <c r="E29" s="74" t="s">
        <v>47</v>
      </c>
      <c r="F29" s="47">
        <v>105539</v>
      </c>
      <c r="G29" s="48"/>
      <c r="H29" s="44">
        <v>39990.33472222222</v>
      </c>
      <c r="I29" s="44">
        <v>39990.3625</v>
      </c>
      <c r="J29" s="45">
        <f>(I29-H29)*24</f>
        <v>0.6666666667442769</v>
      </c>
      <c r="K29" s="45">
        <f>(I29-H29)*24</f>
        <v>0.6666666667442769</v>
      </c>
      <c r="L29" s="49" t="s">
        <v>48</v>
      </c>
      <c r="M29" s="50" t="s">
        <v>48</v>
      </c>
      <c r="N29" s="50" t="s">
        <v>48</v>
      </c>
      <c r="O29" s="51" t="s">
        <v>17</v>
      </c>
      <c r="P29" s="46"/>
      <c r="Q29" s="52">
        <f t="shared" si="5"/>
        <v>1</v>
      </c>
      <c r="R29" s="52">
        <f t="shared" si="1"/>
      </c>
      <c r="S29" s="52">
        <f t="shared" si="2"/>
      </c>
      <c r="T29" s="53">
        <f t="shared" si="3"/>
        <v>1</v>
      </c>
      <c r="U29" s="30"/>
      <c r="V29" s="30"/>
      <c r="W29" s="30"/>
    </row>
    <row r="30" spans="1:23" s="64" customFormat="1" ht="12.75">
      <c r="A30" s="55">
        <v>24</v>
      </c>
      <c r="B30" s="56">
        <v>39990.3625</v>
      </c>
      <c r="C30" s="56">
        <v>39993.49722222222</v>
      </c>
      <c r="D30" s="57">
        <f>(C30-B30)*24</f>
        <v>75.2333333332208</v>
      </c>
      <c r="E30" s="75" t="s">
        <v>49</v>
      </c>
      <c r="F30" s="59">
        <v>105540</v>
      </c>
      <c r="G30" s="60"/>
      <c r="H30" s="56">
        <v>39993.49722222222</v>
      </c>
      <c r="I30" s="56">
        <v>39993.54791666667</v>
      </c>
      <c r="J30" s="57">
        <f>(I30-H30)*24</f>
        <v>1.216666666790843</v>
      </c>
      <c r="K30" s="57">
        <f>(I30-H30)*24</f>
        <v>1.216666666790843</v>
      </c>
      <c r="L30" s="61" t="s">
        <v>23</v>
      </c>
      <c r="M30" s="61" t="s">
        <v>23</v>
      </c>
      <c r="N30" s="61" t="s">
        <v>23</v>
      </c>
      <c r="O30" s="62" t="s">
        <v>17</v>
      </c>
      <c r="P30" s="105" t="s">
        <v>50</v>
      </c>
      <c r="Q30" s="52">
        <f t="shared" si="5"/>
        <v>1</v>
      </c>
      <c r="R30" s="52">
        <f t="shared" si="1"/>
      </c>
      <c r="S30" s="52">
        <f t="shared" si="2"/>
      </c>
      <c r="T30" s="53">
        <f t="shared" si="3"/>
        <v>1</v>
      </c>
      <c r="U30" s="63"/>
      <c r="V30" s="63"/>
      <c r="W30" s="63"/>
    </row>
    <row r="31" spans="1:23" s="54" customFormat="1" ht="26.25">
      <c r="A31" s="43">
        <v>26</v>
      </c>
      <c r="B31" s="44">
        <v>39993.54791666667</v>
      </c>
      <c r="C31" s="44">
        <v>39994.05416666667</v>
      </c>
      <c r="D31" s="45">
        <f>(C31-B31)*24</f>
        <v>12.149999999965075</v>
      </c>
      <c r="E31" s="76" t="s">
        <v>51</v>
      </c>
      <c r="F31" s="47" t="s">
        <v>52</v>
      </c>
      <c r="G31" s="48"/>
      <c r="H31" s="44">
        <v>39994.05416666667</v>
      </c>
      <c r="I31" s="44">
        <v>39994.31875</v>
      </c>
      <c r="J31" s="45">
        <f>(I31-H31)*24</f>
        <v>6.349999999918509</v>
      </c>
      <c r="K31" s="45">
        <f>(I31-H31)*24</f>
        <v>6.349999999918509</v>
      </c>
      <c r="L31" s="49" t="s">
        <v>53</v>
      </c>
      <c r="M31" s="50" t="s">
        <v>53</v>
      </c>
      <c r="N31" s="50" t="s">
        <v>53</v>
      </c>
      <c r="O31" s="51" t="s">
        <v>17</v>
      </c>
      <c r="P31" s="106" t="s">
        <v>54</v>
      </c>
      <c r="Q31" s="77">
        <f t="shared" si="5"/>
        <v>1</v>
      </c>
      <c r="R31" s="77">
        <f t="shared" si="1"/>
      </c>
      <c r="S31" s="77">
        <f t="shared" si="2"/>
      </c>
      <c r="T31" s="78">
        <f t="shared" si="3"/>
        <v>1</v>
      </c>
      <c r="U31" s="30"/>
      <c r="V31" s="30"/>
      <c r="W31" s="30"/>
    </row>
    <row r="32" spans="1:23" s="64" customFormat="1" ht="12.75">
      <c r="A32" s="55">
        <v>28</v>
      </c>
      <c r="B32" s="56">
        <v>39994.31875</v>
      </c>
      <c r="C32" s="56">
        <v>39994.65902777778</v>
      </c>
      <c r="D32" s="57">
        <f>(C32-B32)*24</f>
        <v>8.166666666744277</v>
      </c>
      <c r="E32" s="75" t="s">
        <v>51</v>
      </c>
      <c r="F32" s="59">
        <v>105543</v>
      </c>
      <c r="G32" s="60"/>
      <c r="H32" s="56">
        <v>39994.65902777778</v>
      </c>
      <c r="I32" s="56">
        <v>39994.73472222222</v>
      </c>
      <c r="J32" s="57">
        <f>(I32-H32)*24</f>
        <v>1.8166666666511446</v>
      </c>
      <c r="K32" s="57">
        <f>(I32-H32)*24</f>
        <v>1.8166666666511446</v>
      </c>
      <c r="L32" s="61" t="s">
        <v>53</v>
      </c>
      <c r="M32" s="61" t="s">
        <v>53</v>
      </c>
      <c r="N32" s="61" t="s">
        <v>53</v>
      </c>
      <c r="O32" s="62" t="s">
        <v>17</v>
      </c>
      <c r="P32" s="58"/>
      <c r="Q32" s="52">
        <f t="shared" si="5"/>
        <v>1</v>
      </c>
      <c r="R32" s="52">
        <f t="shared" si="1"/>
      </c>
      <c r="S32" s="52">
        <f t="shared" si="2"/>
      </c>
      <c r="T32" s="53">
        <f t="shared" si="3"/>
        <v>1</v>
      </c>
      <c r="U32" s="63"/>
      <c r="V32" s="63"/>
      <c r="W32" s="63"/>
    </row>
    <row r="33" spans="1:23" s="54" customFormat="1" ht="12.75">
      <c r="A33" s="43">
        <v>29</v>
      </c>
      <c r="B33" s="44">
        <v>39994.73472222222</v>
      </c>
      <c r="C33" s="44">
        <v>39996.333333333336</v>
      </c>
      <c r="D33" s="45">
        <f>(C33-B33)*24</f>
        <v>38.36666666669771</v>
      </c>
      <c r="E33" s="79" t="s">
        <v>26</v>
      </c>
      <c r="F33" s="47"/>
      <c r="G33" s="48"/>
      <c r="H33" s="44"/>
      <c r="I33" s="44"/>
      <c r="J33" s="45">
        <f>(I33-H33)*24</f>
        <v>0</v>
      </c>
      <c r="K33" s="45">
        <f>(I33-H33)*24</f>
        <v>0</v>
      </c>
      <c r="M33" s="49"/>
      <c r="N33" s="49"/>
      <c r="O33" s="51" t="s">
        <v>27</v>
      </c>
      <c r="P33" s="46"/>
      <c r="Q33" s="77">
        <f t="shared" si="5"/>
      </c>
      <c r="R33" s="77">
        <f t="shared" si="1"/>
      </c>
      <c r="S33" s="77">
        <f t="shared" si="2"/>
      </c>
      <c r="T33" s="78">
        <f t="shared" si="3"/>
        <v>0</v>
      </c>
      <c r="U33" s="30"/>
      <c r="V33" s="30"/>
      <c r="W33" s="30"/>
    </row>
    <row r="34" spans="1:23" s="54" customFormat="1" ht="12.75">
      <c r="A34" s="65"/>
      <c r="B34" s="66"/>
      <c r="C34" s="66"/>
      <c r="D34" s="67">
        <f>SUM(D29:D33)</f>
        <v>181.94999999989523</v>
      </c>
      <c r="E34" s="68"/>
      <c r="F34" s="69"/>
      <c r="G34" s="70"/>
      <c r="H34" s="66"/>
      <c r="I34" s="66"/>
      <c r="J34" s="67">
        <f>SUM(J29:J33)</f>
        <v>10.050000000104774</v>
      </c>
      <c r="K34" s="67">
        <f>SUM(K29:K33)</f>
        <v>10.050000000104774</v>
      </c>
      <c r="L34" s="71"/>
      <c r="M34" s="72"/>
      <c r="N34" s="72"/>
      <c r="O34" s="73"/>
      <c r="P34" s="68"/>
      <c r="Q34" s="52">
        <f t="shared" si="5"/>
      </c>
      <c r="R34" s="52">
        <f t="shared" si="1"/>
      </c>
      <c r="S34" s="52">
        <f t="shared" si="2"/>
      </c>
      <c r="T34" s="53">
        <f t="shared" si="3"/>
        <v>0</v>
      </c>
      <c r="U34" s="30"/>
      <c r="V34" s="30"/>
      <c r="W34" s="30"/>
    </row>
    <row r="35" spans="1:23" s="54" customFormat="1" ht="12.75">
      <c r="A35" s="43">
        <v>30</v>
      </c>
      <c r="B35" s="44">
        <v>40000.333333333336</v>
      </c>
      <c r="C35" s="44">
        <v>40008.333333333336</v>
      </c>
      <c r="D35" s="45">
        <f>(C35-B35)*24</f>
        <v>192</v>
      </c>
      <c r="E35" s="46" t="s">
        <v>26</v>
      </c>
      <c r="F35" s="47"/>
      <c r="G35" s="48"/>
      <c r="H35" s="44"/>
      <c r="I35" s="44"/>
      <c r="J35" s="45">
        <f>(I35-H35)*24</f>
        <v>0</v>
      </c>
      <c r="K35" s="45">
        <f>(I35-H35)*24</f>
        <v>0</v>
      </c>
      <c r="M35" s="49"/>
      <c r="N35" s="49"/>
      <c r="O35" s="51" t="s">
        <v>27</v>
      </c>
      <c r="P35" s="46"/>
      <c r="Q35" s="77">
        <f t="shared" si="5"/>
      </c>
      <c r="R35" s="77">
        <f t="shared" si="1"/>
      </c>
      <c r="S35" s="77">
        <f t="shared" si="2"/>
      </c>
      <c r="T35" s="78">
        <f t="shared" si="3"/>
        <v>0</v>
      </c>
      <c r="U35" s="30"/>
      <c r="V35" s="30"/>
      <c r="W35" s="30"/>
    </row>
    <row r="36" spans="1:23" s="54" customFormat="1" ht="12.75">
      <c r="A36" s="65"/>
      <c r="B36" s="66"/>
      <c r="C36" s="66"/>
      <c r="D36" s="67">
        <f>SUM(D35:D35)</f>
        <v>192</v>
      </c>
      <c r="E36" s="68"/>
      <c r="F36" s="69"/>
      <c r="G36" s="70"/>
      <c r="H36" s="66"/>
      <c r="I36" s="66"/>
      <c r="J36" s="67">
        <f>SUM(J35:J35)</f>
        <v>0</v>
      </c>
      <c r="K36" s="67">
        <f>SUM(K35:K35)</f>
        <v>0</v>
      </c>
      <c r="L36" s="71"/>
      <c r="M36" s="72"/>
      <c r="N36" s="72"/>
      <c r="O36" s="73"/>
      <c r="P36" s="68"/>
      <c r="Q36" s="52">
        <f t="shared" si="5"/>
      </c>
      <c r="R36" s="52">
        <f t="shared" si="1"/>
      </c>
      <c r="S36" s="52">
        <f t="shared" si="2"/>
      </c>
      <c r="T36" s="53">
        <f t="shared" si="3"/>
        <v>0</v>
      </c>
      <c r="U36" s="30"/>
      <c r="V36" s="30"/>
      <c r="W36" s="30"/>
    </row>
    <row r="37" spans="1:23" s="54" customFormat="1" ht="12.75">
      <c r="A37" s="43">
        <v>31</v>
      </c>
      <c r="B37" s="44">
        <v>40009.333333333336</v>
      </c>
      <c r="C37" s="44">
        <v>40009.44583333333</v>
      </c>
      <c r="D37" s="45">
        <f>(C37-B37)*24</f>
        <v>2.699999999895226</v>
      </c>
      <c r="E37" s="46" t="s">
        <v>55</v>
      </c>
      <c r="F37" s="47">
        <v>105546</v>
      </c>
      <c r="G37" s="48"/>
      <c r="H37" s="44">
        <v>40009.44583333333</v>
      </c>
      <c r="I37" s="44">
        <v>40009.45763888889</v>
      </c>
      <c r="J37" s="45">
        <f>(I37-H37)*24</f>
        <v>0.28333333338378</v>
      </c>
      <c r="K37" s="45">
        <f>(I37-H37)*24</f>
        <v>0.28333333338378</v>
      </c>
      <c r="L37" s="49" t="s">
        <v>56</v>
      </c>
      <c r="M37" s="50" t="s">
        <v>56</v>
      </c>
      <c r="N37" s="50" t="s">
        <v>56</v>
      </c>
      <c r="O37" s="51" t="s">
        <v>17</v>
      </c>
      <c r="P37" s="46"/>
      <c r="Q37" s="52">
        <f t="shared" si="5"/>
        <v>1</v>
      </c>
      <c r="R37" s="52">
        <f t="shared" si="1"/>
      </c>
      <c r="S37" s="52">
        <f t="shared" si="2"/>
      </c>
      <c r="T37" s="53">
        <f t="shared" si="3"/>
        <v>1</v>
      </c>
      <c r="U37" s="30"/>
      <c r="V37" s="30"/>
      <c r="W37" s="30"/>
    </row>
    <row r="38" spans="1:23" s="64" customFormat="1" ht="12.75">
      <c r="A38" s="55">
        <v>32</v>
      </c>
      <c r="B38" s="56">
        <v>40009.45763888889</v>
      </c>
      <c r="C38" s="56">
        <v>40013.85555555556</v>
      </c>
      <c r="D38" s="57">
        <f>(C38-B38)*24</f>
        <v>105.55000000004657</v>
      </c>
      <c r="E38" s="58" t="s">
        <v>57</v>
      </c>
      <c r="F38" s="59">
        <v>105547</v>
      </c>
      <c r="G38" s="60"/>
      <c r="H38" s="56">
        <v>40013.85555555556</v>
      </c>
      <c r="I38" s="56">
        <v>40013.959027777775</v>
      </c>
      <c r="J38" s="57">
        <f>(I38-H38)*24</f>
        <v>2.4833333332207985</v>
      </c>
      <c r="K38" s="57">
        <f>(I38-H38)*24</f>
        <v>2.4833333332207985</v>
      </c>
      <c r="L38" s="61" t="s">
        <v>32</v>
      </c>
      <c r="M38" s="61" t="s">
        <v>32</v>
      </c>
      <c r="N38" s="61" t="s">
        <v>32</v>
      </c>
      <c r="O38" s="62" t="s">
        <v>17</v>
      </c>
      <c r="P38" s="58"/>
      <c r="Q38" s="52">
        <f t="shared" si="5"/>
        <v>1</v>
      </c>
      <c r="R38" s="52">
        <f t="shared" si="1"/>
      </c>
      <c r="S38" s="52">
        <f t="shared" si="2"/>
      </c>
      <c r="T38" s="53">
        <f t="shared" si="3"/>
        <v>1</v>
      </c>
      <c r="U38" s="63"/>
      <c r="V38" s="63"/>
      <c r="W38" s="63"/>
    </row>
    <row r="39" spans="1:23" s="54" customFormat="1" ht="12.75">
      <c r="A39" s="43">
        <v>33</v>
      </c>
      <c r="B39" s="44">
        <v>40013.959027777775</v>
      </c>
      <c r="C39" s="44">
        <v>40014.333333333336</v>
      </c>
      <c r="D39" s="45">
        <f>(C39-B39)*24</f>
        <v>8.98333333345363</v>
      </c>
      <c r="E39" s="46" t="s">
        <v>26</v>
      </c>
      <c r="F39" s="47"/>
      <c r="G39" s="48"/>
      <c r="H39" s="44"/>
      <c r="I39" s="44"/>
      <c r="J39" s="45">
        <f>(I39-H39)*24</f>
        <v>0</v>
      </c>
      <c r="K39" s="45">
        <f>(I39-H39)*24</f>
        <v>0</v>
      </c>
      <c r="M39" s="49"/>
      <c r="N39" s="49"/>
      <c r="O39" s="51" t="s">
        <v>27</v>
      </c>
      <c r="P39" s="46"/>
      <c r="Q39" s="52">
        <f t="shared" si="5"/>
      </c>
      <c r="R39" s="52">
        <f t="shared" si="1"/>
      </c>
      <c r="S39" s="52">
        <f t="shared" si="2"/>
      </c>
      <c r="T39" s="53">
        <f t="shared" si="3"/>
        <v>0</v>
      </c>
      <c r="U39" s="30"/>
      <c r="V39" s="30"/>
      <c r="W39" s="30"/>
    </row>
    <row r="40" spans="1:23" s="54" customFormat="1" ht="12.75">
      <c r="A40" s="65"/>
      <c r="B40" s="66"/>
      <c r="C40" s="66"/>
      <c r="D40" s="67">
        <f>SUM(D37:D39)</f>
        <v>117.23333333339542</v>
      </c>
      <c r="E40" s="68"/>
      <c r="F40" s="69"/>
      <c r="G40" s="70"/>
      <c r="H40" s="66"/>
      <c r="I40" s="66"/>
      <c r="J40" s="67">
        <f>SUM(J37:J39)</f>
        <v>2.7666666666045785</v>
      </c>
      <c r="K40" s="67">
        <f>SUM(K37:K39)</f>
        <v>2.7666666666045785</v>
      </c>
      <c r="L40" s="71"/>
      <c r="M40" s="72"/>
      <c r="N40" s="72"/>
      <c r="O40" s="73"/>
      <c r="P40" s="68"/>
      <c r="Q40" s="52">
        <f t="shared" si="5"/>
      </c>
      <c r="R40" s="52">
        <f t="shared" si="1"/>
      </c>
      <c r="S40" s="52">
        <f t="shared" si="2"/>
      </c>
      <c r="T40" s="53">
        <f t="shared" si="3"/>
        <v>0</v>
      </c>
      <c r="U40" s="30"/>
      <c r="V40" s="30"/>
      <c r="W40" s="30"/>
    </row>
    <row r="41" spans="1:23" s="54" customFormat="1" ht="12.75">
      <c r="A41" s="43">
        <v>34</v>
      </c>
      <c r="B41" s="44">
        <v>40016.333333333336</v>
      </c>
      <c r="C41" s="44">
        <v>40022.333333333336</v>
      </c>
      <c r="D41" s="45">
        <f>(C41-B41)*24</f>
        <v>144</v>
      </c>
      <c r="E41" s="46" t="s">
        <v>26</v>
      </c>
      <c r="F41" s="47"/>
      <c r="G41" s="48"/>
      <c r="H41" s="44"/>
      <c r="I41" s="44"/>
      <c r="J41" s="45">
        <f>(I41-H41)*24</f>
        <v>0</v>
      </c>
      <c r="K41" s="45">
        <f>(I41-H41)*24</f>
        <v>0</v>
      </c>
      <c r="M41" s="49"/>
      <c r="N41" s="49"/>
      <c r="O41" s="51" t="s">
        <v>27</v>
      </c>
      <c r="P41" s="46"/>
      <c r="Q41" s="77">
        <f t="shared" si="5"/>
      </c>
      <c r="R41" s="77">
        <f t="shared" si="1"/>
      </c>
      <c r="S41" s="77">
        <f t="shared" si="2"/>
      </c>
      <c r="T41" s="78">
        <f t="shared" si="3"/>
        <v>0</v>
      </c>
      <c r="U41" s="30"/>
      <c r="V41" s="30"/>
      <c r="W41" s="30"/>
    </row>
    <row r="42" spans="1:23" s="54" customFormat="1" ht="12.75">
      <c r="A42" s="65"/>
      <c r="B42" s="66"/>
      <c r="C42" s="66"/>
      <c r="D42" s="67">
        <f>SUM(D41:D41)</f>
        <v>144</v>
      </c>
      <c r="E42" s="68"/>
      <c r="F42" s="69"/>
      <c r="G42" s="70"/>
      <c r="H42" s="66"/>
      <c r="I42" s="66"/>
      <c r="J42" s="67">
        <f>SUM(J41:J41)</f>
        <v>0</v>
      </c>
      <c r="K42" s="67">
        <f>SUM(K41:K41)</f>
        <v>0</v>
      </c>
      <c r="L42" s="71"/>
      <c r="M42" s="72"/>
      <c r="N42" s="72"/>
      <c r="O42" s="73"/>
      <c r="P42" s="68"/>
      <c r="Q42" s="52">
        <f t="shared" si="5"/>
      </c>
      <c r="R42" s="52">
        <f t="shared" si="1"/>
      </c>
      <c r="S42" s="52">
        <f t="shared" si="2"/>
      </c>
      <c r="T42" s="53">
        <f t="shared" si="3"/>
        <v>0</v>
      </c>
      <c r="U42" s="30"/>
      <c r="V42" s="30"/>
      <c r="W42" s="30"/>
    </row>
    <row r="43" spans="1:23" s="54" customFormat="1" ht="12.75">
      <c r="A43" s="43">
        <v>35</v>
      </c>
      <c r="B43" s="44">
        <v>40023.333333333336</v>
      </c>
      <c r="C43" s="44">
        <v>40029.333333333336</v>
      </c>
      <c r="D43" s="45">
        <f>(C43-B43)*24</f>
        <v>144</v>
      </c>
      <c r="E43" s="46" t="s">
        <v>26</v>
      </c>
      <c r="F43" s="47"/>
      <c r="G43" s="48"/>
      <c r="H43" s="44"/>
      <c r="I43" s="44"/>
      <c r="J43" s="45">
        <f>(I43-H43)*24</f>
        <v>0</v>
      </c>
      <c r="K43" s="45">
        <f>(I43-H43)*24</f>
        <v>0</v>
      </c>
      <c r="M43" s="49"/>
      <c r="N43" s="49"/>
      <c r="O43" s="51" t="s">
        <v>27</v>
      </c>
      <c r="P43" s="46"/>
      <c r="Q43" s="77">
        <f t="shared" si="5"/>
      </c>
      <c r="R43" s="77">
        <f t="shared" si="1"/>
      </c>
      <c r="S43" s="77">
        <f t="shared" si="2"/>
      </c>
      <c r="T43" s="78">
        <f aca="true" t="shared" si="6" ref="T43:T50">SUM(Q43:S43)</f>
        <v>0</v>
      </c>
      <c r="U43" s="30"/>
      <c r="V43" s="30"/>
      <c r="W43" s="30"/>
    </row>
    <row r="44" spans="1:23" s="54" customFormat="1" ht="12.75">
      <c r="A44" s="65"/>
      <c r="B44" s="66"/>
      <c r="C44" s="66"/>
      <c r="D44" s="67">
        <f>SUM(D43:D43)</f>
        <v>144</v>
      </c>
      <c r="E44" s="68"/>
      <c r="F44" s="69"/>
      <c r="G44" s="70"/>
      <c r="H44" s="66"/>
      <c r="I44" s="66"/>
      <c r="J44" s="67">
        <f>SUM(J43:J43)</f>
        <v>0</v>
      </c>
      <c r="K44" s="67">
        <f>SUM(K43:K43)</f>
        <v>0</v>
      </c>
      <c r="L44" s="71"/>
      <c r="M44" s="72"/>
      <c r="N44" s="72"/>
      <c r="O44" s="73"/>
      <c r="P44" s="68"/>
      <c r="Q44" s="52">
        <f t="shared" si="5"/>
      </c>
      <c r="R44" s="52">
        <f t="shared" si="1"/>
      </c>
      <c r="S44" s="52">
        <f t="shared" si="2"/>
      </c>
      <c r="T44" s="53">
        <f t="shared" si="6"/>
        <v>0</v>
      </c>
      <c r="U44" s="30"/>
      <c r="V44" s="30"/>
      <c r="W44" s="30"/>
    </row>
    <row r="45" spans="1:23" s="54" customFormat="1" ht="12.75">
      <c r="A45" s="43">
        <v>36</v>
      </c>
      <c r="B45" s="44">
        <v>40030.333333333336</v>
      </c>
      <c r="C45" s="44">
        <v>40036.333333333336</v>
      </c>
      <c r="D45" s="45">
        <f>(C45-B45)*24</f>
        <v>144</v>
      </c>
      <c r="E45" s="46" t="s">
        <v>26</v>
      </c>
      <c r="F45" s="47"/>
      <c r="G45" s="48"/>
      <c r="H45" s="44"/>
      <c r="I45" s="44"/>
      <c r="J45" s="45">
        <f>(I45-H45)*24</f>
        <v>0</v>
      </c>
      <c r="K45" s="45">
        <f>(I45-H45)*24</f>
        <v>0</v>
      </c>
      <c r="M45" s="49"/>
      <c r="N45" s="49"/>
      <c r="O45" s="51" t="s">
        <v>27</v>
      </c>
      <c r="P45" s="46"/>
      <c r="Q45" s="77">
        <f t="shared" si="5"/>
      </c>
      <c r="R45" s="77">
        <f t="shared" si="1"/>
      </c>
      <c r="S45" s="77">
        <f t="shared" si="2"/>
      </c>
      <c r="T45" s="78">
        <f t="shared" si="6"/>
        <v>0</v>
      </c>
      <c r="U45" s="30"/>
      <c r="V45" s="30"/>
      <c r="W45" s="30"/>
    </row>
    <row r="46" spans="1:23" s="54" customFormat="1" ht="12.75">
      <c r="A46" s="65"/>
      <c r="B46" s="66"/>
      <c r="C46" s="66"/>
      <c r="D46" s="67">
        <f>SUM(D45:D45)</f>
        <v>144</v>
      </c>
      <c r="E46" s="68"/>
      <c r="F46" s="69"/>
      <c r="G46" s="70"/>
      <c r="H46" s="66"/>
      <c r="I46" s="66"/>
      <c r="J46" s="67">
        <f>SUM(J45:J45)</f>
        <v>0</v>
      </c>
      <c r="K46" s="67">
        <f>SUM(K45:K45)</f>
        <v>0</v>
      </c>
      <c r="L46" s="71"/>
      <c r="M46" s="72"/>
      <c r="N46" s="72"/>
      <c r="O46" s="73"/>
      <c r="P46" s="68"/>
      <c r="Q46" s="52">
        <f t="shared" si="5"/>
      </c>
      <c r="R46" s="52">
        <f t="shared" si="1"/>
      </c>
      <c r="S46" s="52">
        <f t="shared" si="2"/>
      </c>
      <c r="T46" s="53">
        <f t="shared" si="6"/>
        <v>0</v>
      </c>
      <c r="U46" s="30"/>
      <c r="V46" s="30"/>
      <c r="W46" s="30"/>
    </row>
    <row r="47" spans="1:23" s="54" customFormat="1" ht="12.75">
      <c r="A47" s="43">
        <v>37</v>
      </c>
      <c r="B47" s="44">
        <v>40037.333333333336</v>
      </c>
      <c r="C47" s="44">
        <v>40041.93958333333</v>
      </c>
      <c r="D47" s="45">
        <f>(C47-B47)*24</f>
        <v>110.54999999993015</v>
      </c>
      <c r="E47" s="166" t="s">
        <v>97</v>
      </c>
      <c r="F47" s="47"/>
      <c r="G47" s="48"/>
      <c r="H47" s="44">
        <v>40041.93958333333</v>
      </c>
      <c r="I47" s="44">
        <v>40042.089583333334</v>
      </c>
      <c r="J47" s="45">
        <f>(I47-H47)*24</f>
        <v>3.6000000000349246</v>
      </c>
      <c r="K47" s="45">
        <f>(I47-H47)*24</f>
        <v>3.6000000000349246</v>
      </c>
      <c r="L47" s="162" t="s">
        <v>32</v>
      </c>
      <c r="M47" s="163" t="s">
        <v>32</v>
      </c>
      <c r="N47" s="163" t="s">
        <v>32</v>
      </c>
      <c r="O47" s="51" t="s">
        <v>17</v>
      </c>
      <c r="P47" s="46"/>
      <c r="Q47" s="52">
        <f t="shared" si="5"/>
        <v>1</v>
      </c>
      <c r="R47" s="52">
        <f t="shared" si="1"/>
      </c>
      <c r="S47" s="52">
        <f t="shared" si="2"/>
      </c>
      <c r="T47" s="53">
        <f t="shared" si="6"/>
        <v>1</v>
      </c>
      <c r="U47" s="30"/>
      <c r="V47" s="30"/>
      <c r="W47" s="30"/>
    </row>
    <row r="48" spans="1:23" s="64" customFormat="1" ht="12.75">
      <c r="A48" s="55">
        <v>38</v>
      </c>
      <c r="B48" s="165">
        <v>40042.089583333334</v>
      </c>
      <c r="C48" s="56">
        <v>40042.89166666667</v>
      </c>
      <c r="D48" s="57">
        <f>(C48-B48)*24</f>
        <v>19.250000000058208</v>
      </c>
      <c r="E48" s="167" t="s">
        <v>98</v>
      </c>
      <c r="F48" s="59"/>
      <c r="G48" s="60"/>
      <c r="H48" s="56">
        <v>40042.89166666667</v>
      </c>
      <c r="I48" s="56">
        <v>40042.91388888889</v>
      </c>
      <c r="J48" s="57">
        <f>(I48-H48)*24</f>
        <v>0.5333333333255723</v>
      </c>
      <c r="K48" s="57">
        <f>(I48-H48)*24</f>
        <v>0.5333333333255723</v>
      </c>
      <c r="L48" s="164" t="s">
        <v>30</v>
      </c>
      <c r="M48" s="164" t="s">
        <v>30</v>
      </c>
      <c r="N48" s="164" t="s">
        <v>30</v>
      </c>
      <c r="O48" s="62" t="s">
        <v>17</v>
      </c>
      <c r="P48" s="58"/>
      <c r="Q48" s="52">
        <f t="shared" si="5"/>
        <v>1</v>
      </c>
      <c r="R48" s="52">
        <f t="shared" si="1"/>
      </c>
      <c r="S48" s="52">
        <f t="shared" si="2"/>
      </c>
      <c r="T48" s="53">
        <f t="shared" si="6"/>
        <v>1</v>
      </c>
      <c r="U48" s="63"/>
      <c r="V48" s="63"/>
      <c r="W48" s="63"/>
    </row>
    <row r="49" spans="1:23" s="54" customFormat="1" ht="12.75">
      <c r="A49" s="43">
        <v>39</v>
      </c>
      <c r="B49" s="44">
        <v>40042.91388888889</v>
      </c>
      <c r="C49" s="44">
        <v>40045</v>
      </c>
      <c r="D49" s="45">
        <f>(C49-B49)*24</f>
        <v>50.06666666659294</v>
      </c>
      <c r="E49" s="46" t="s">
        <v>26</v>
      </c>
      <c r="F49" s="47"/>
      <c r="G49" s="48"/>
      <c r="H49" s="44"/>
      <c r="I49" s="44"/>
      <c r="J49" s="45">
        <f>(I49-H49)*24</f>
        <v>0</v>
      </c>
      <c r="K49" s="45">
        <f>(I49-H49)*24</f>
        <v>0</v>
      </c>
      <c r="M49" s="49"/>
      <c r="N49" s="49"/>
      <c r="O49" s="51" t="s">
        <v>27</v>
      </c>
      <c r="P49" s="46"/>
      <c r="Q49" s="52">
        <f t="shared" si="5"/>
      </c>
      <c r="R49" s="52">
        <f t="shared" si="1"/>
      </c>
      <c r="S49" s="52">
        <f t="shared" si="2"/>
      </c>
      <c r="T49" s="53">
        <f t="shared" si="6"/>
        <v>0</v>
      </c>
      <c r="U49" s="30"/>
      <c r="V49" s="30"/>
      <c r="W49" s="30"/>
    </row>
    <row r="50" spans="1:23" s="54" customFormat="1" ht="12.75">
      <c r="A50" s="65"/>
      <c r="B50" s="66"/>
      <c r="C50" s="66"/>
      <c r="D50" s="67">
        <f>SUM(D47:D49)</f>
        <v>179.8666666665813</v>
      </c>
      <c r="E50" s="68"/>
      <c r="F50" s="69"/>
      <c r="G50" s="70"/>
      <c r="H50" s="66"/>
      <c r="I50" s="66"/>
      <c r="J50" s="67">
        <f>SUM(J47:J49)</f>
        <v>4.133333333360497</v>
      </c>
      <c r="K50" s="67">
        <f>SUM(K47:K49)</f>
        <v>4.133333333360497</v>
      </c>
      <c r="L50" s="71"/>
      <c r="M50" s="72"/>
      <c r="N50" s="72"/>
      <c r="O50" s="73"/>
      <c r="P50" s="68"/>
      <c r="Q50" s="52">
        <f t="shared" si="5"/>
      </c>
      <c r="R50" s="52">
        <f t="shared" si="1"/>
      </c>
      <c r="S50" s="52">
        <f t="shared" si="2"/>
      </c>
      <c r="T50" s="53">
        <f t="shared" si="6"/>
        <v>0</v>
      </c>
      <c r="U50" s="30"/>
      <c r="V50" s="30"/>
      <c r="W50" s="30"/>
    </row>
    <row r="51" spans="1:18" ht="14.25" customHeight="1">
      <c r="A51" s="28"/>
      <c r="B51" s="14"/>
      <c r="C51" s="14"/>
      <c r="D51" s="107"/>
      <c r="E51" s="16"/>
      <c r="F51" s="29"/>
      <c r="G51" s="18"/>
      <c r="K51" s="108"/>
      <c r="Q51" s="52">
        <f t="shared" si="5"/>
      </c>
      <c r="R51" s="12">
        <f>IF($P52="Store Lost",1,"")</f>
      </c>
    </row>
    <row r="52" spans="1:18" ht="12.75">
      <c r="A52" s="28"/>
      <c r="B52" s="14"/>
      <c r="C52" s="14"/>
      <c r="D52" s="15"/>
      <c r="E52" s="16"/>
      <c r="F52" s="29"/>
      <c r="G52" s="18"/>
      <c r="K52" s="108"/>
      <c r="Q52" s="23"/>
      <c r="R52" s="12">
        <f>IF($P53="Store Lost",1,"")</f>
      </c>
    </row>
    <row r="53" spans="1:18" ht="12.75">
      <c r="A53" s="28"/>
      <c r="B53" s="14"/>
      <c r="C53" s="109" t="s">
        <v>58</v>
      </c>
      <c r="D53" s="110">
        <f>Q55</f>
        <v>21</v>
      </c>
      <c r="E53" s="16"/>
      <c r="F53" s="29"/>
      <c r="G53" s="18"/>
      <c r="H53" s="19"/>
      <c r="I53" s="19"/>
      <c r="J53" s="111" t="s">
        <v>59</v>
      </c>
      <c r="K53" s="112"/>
      <c r="L53" s="21"/>
      <c r="M53" s="22"/>
      <c r="N53" s="22"/>
      <c r="O53" s="113"/>
      <c r="P53" s="23"/>
      <c r="R53" s="12">
        <f>IF($L53="Scheduled",1,"")</f>
      </c>
    </row>
    <row r="54" spans="1:18" ht="12.75">
      <c r="A54" s="28"/>
      <c r="B54" s="14"/>
      <c r="C54" s="109" t="s">
        <v>60</v>
      </c>
      <c r="D54" s="110">
        <f>D55-D53</f>
        <v>11</v>
      </c>
      <c r="E54" s="16"/>
      <c r="F54" s="29"/>
      <c r="G54" s="18"/>
      <c r="H54" s="19"/>
      <c r="I54" s="19"/>
      <c r="J54" s="15" t="s">
        <v>61</v>
      </c>
      <c r="K54" s="114" t="s">
        <v>13</v>
      </c>
      <c r="L54" s="21"/>
      <c r="M54" s="22"/>
      <c r="N54" s="22"/>
      <c r="O54" s="113"/>
      <c r="P54" s="23"/>
      <c r="R54" s="12">
        <f>IF($L54="Scheduled",1,"")</f>
      </c>
    </row>
    <row r="55" spans="1:20" ht="12.75">
      <c r="A55" s="28"/>
      <c r="B55" s="14"/>
      <c r="C55" s="109" t="s">
        <v>62</v>
      </c>
      <c r="D55" s="115">
        <f>COUNT(A6:A51)</f>
        <v>32</v>
      </c>
      <c r="E55" s="16"/>
      <c r="F55" s="29"/>
      <c r="G55" s="18"/>
      <c r="H55" s="19"/>
      <c r="I55" s="19"/>
      <c r="J55" s="116">
        <f>SUM(J6:J51)/2</f>
        <v>46.400000000197906</v>
      </c>
      <c r="K55" s="116">
        <f>SUM(K6:K51)/2</f>
        <v>46.400000000197906</v>
      </c>
      <c r="L55" s="21"/>
      <c r="M55" s="22"/>
      <c r="N55" s="22"/>
      <c r="O55" s="113"/>
      <c r="P55" s="23"/>
      <c r="Q55" s="115">
        <f>SUM(Q1:Q51)</f>
        <v>21</v>
      </c>
      <c r="R55" s="115">
        <f>SUM(R1:R51)</f>
        <v>0</v>
      </c>
      <c r="S55" s="115">
        <f>SUM(S1:S51)</f>
        <v>1</v>
      </c>
      <c r="T55" s="117">
        <f>SUM(Q55:S55)</f>
        <v>22</v>
      </c>
    </row>
    <row r="56" spans="1:19" ht="12.75">
      <c r="A56" s="28"/>
      <c r="B56" s="14"/>
      <c r="C56" s="109"/>
      <c r="D56" s="15"/>
      <c r="E56" s="16"/>
      <c r="F56" s="29"/>
      <c r="G56" s="18"/>
      <c r="H56" s="19"/>
      <c r="I56" s="19"/>
      <c r="J56" s="15"/>
      <c r="K56" s="20"/>
      <c r="L56" s="21"/>
      <c r="M56" s="22"/>
      <c r="N56" s="22"/>
      <c r="O56" s="21"/>
      <c r="P56" s="23"/>
      <c r="Q56" s="12" t="s">
        <v>63</v>
      </c>
      <c r="R56" s="118" t="s">
        <v>27</v>
      </c>
      <c r="S56" s="12" t="s">
        <v>64</v>
      </c>
    </row>
    <row r="57" spans="1:29" ht="12.75">
      <c r="A57" s="28"/>
      <c r="B57" s="14"/>
      <c r="C57" s="109" t="s">
        <v>65</v>
      </c>
      <c r="D57" s="15">
        <f>SUM(D6:D51)/2</f>
        <v>1625.5999999997439</v>
      </c>
      <c r="E57" s="119">
        <f>D57/24</f>
        <v>67.73333333332266</v>
      </c>
      <c r="F57" s="120" t="s">
        <v>66</v>
      </c>
      <c r="G57" s="18"/>
      <c r="H57" s="19"/>
      <c r="I57" s="19"/>
      <c r="J57" s="15"/>
      <c r="K57" s="20"/>
      <c r="L57" s="21"/>
      <c r="M57" s="22"/>
      <c r="N57" s="22"/>
      <c r="O57" s="21"/>
      <c r="P57" s="23"/>
      <c r="Q57" s="12">
        <f>IF($O59="Store Lost",1,"")</f>
      </c>
      <c r="T57" s="117"/>
      <c r="AA57" s="30"/>
      <c r="AB57" s="30"/>
      <c r="AC57" s="30"/>
    </row>
    <row r="58" spans="1:17" ht="12.75">
      <c r="A58" s="28"/>
      <c r="B58" s="14"/>
      <c r="C58" s="109" t="s">
        <v>67</v>
      </c>
      <c r="D58" s="15">
        <f>J55</f>
        <v>46.400000000197906</v>
      </c>
      <c r="E58" s="16" t="s">
        <v>68</v>
      </c>
      <c r="F58" s="29"/>
      <c r="G58" s="18"/>
      <c r="H58" s="19"/>
      <c r="I58" s="19"/>
      <c r="J58" s="15"/>
      <c r="K58" s="20"/>
      <c r="L58" s="21"/>
      <c r="M58" s="22"/>
      <c r="N58" s="22"/>
      <c r="O58" s="21"/>
      <c r="P58" s="23"/>
      <c r="Q58" s="12">
        <f>IF($O60="Store Lost",1,"")</f>
      </c>
    </row>
    <row r="59" spans="1:26" ht="12.75">
      <c r="A59" s="28"/>
      <c r="B59" s="14"/>
      <c r="C59" s="109" t="s">
        <v>69</v>
      </c>
      <c r="D59" s="115">
        <f>SUM(D57:D58)</f>
        <v>1671.9999999999418</v>
      </c>
      <c r="E59" s="119"/>
      <c r="F59" s="29"/>
      <c r="G59" s="18"/>
      <c r="H59" s="19"/>
      <c r="I59" s="19"/>
      <c r="J59" s="15"/>
      <c r="K59" s="20"/>
      <c r="L59" s="21"/>
      <c r="M59" s="22"/>
      <c r="N59" s="22"/>
      <c r="O59" s="21"/>
      <c r="P59" s="23"/>
      <c r="Q59" s="12">
        <f>IF($O61="Store Lost",1,"")</f>
      </c>
      <c r="U59" s="30"/>
      <c r="V59" s="30"/>
      <c r="W59" s="30"/>
      <c r="X59" s="30"/>
      <c r="Y59" s="30"/>
      <c r="Z59" s="30"/>
    </row>
    <row r="60" spans="1:18" ht="12.75">
      <c r="A60" s="28"/>
      <c r="B60" s="14"/>
      <c r="C60" s="109"/>
      <c r="D60" s="121"/>
      <c r="E60" s="122"/>
      <c r="F60" s="29"/>
      <c r="G60" s="18"/>
      <c r="H60" s="15"/>
      <c r="I60" s="19"/>
      <c r="J60" s="15"/>
      <c r="K60" s="20"/>
      <c r="L60" s="21"/>
      <c r="M60" s="22"/>
      <c r="N60" s="22"/>
      <c r="O60" s="21"/>
      <c r="P60" s="23"/>
      <c r="Q60" s="123">
        <f>Q55+R55</f>
        <v>21</v>
      </c>
      <c r="R60" s="12">
        <f>IF($P62="Store Lost",1,"")</f>
      </c>
    </row>
    <row r="61" spans="1:20" ht="12.75">
      <c r="A61" s="28"/>
      <c r="B61" s="14"/>
      <c r="C61" s="109"/>
      <c r="D61" s="121"/>
      <c r="E61" s="16"/>
      <c r="F61" s="29"/>
      <c r="G61" s="18"/>
      <c r="H61" s="19"/>
      <c r="I61" s="19"/>
      <c r="J61" s="15"/>
      <c r="K61" s="20"/>
      <c r="L61" s="21"/>
      <c r="M61" s="22"/>
      <c r="N61" s="22"/>
      <c r="O61" s="21"/>
      <c r="P61" s="23"/>
      <c r="Q61" s="23"/>
      <c r="R61" s="12">
        <f>IF($P63="Store Lost",1,"")</f>
      </c>
      <c r="S61" s="30"/>
      <c r="T61" s="30"/>
    </row>
    <row r="62" spans="1:18" ht="12.75">
      <c r="A62" s="28"/>
      <c r="B62" s="14"/>
      <c r="C62" s="109" t="s">
        <v>70</v>
      </c>
      <c r="D62" s="124">
        <f>IF(D53,D57/D53,D57)</f>
        <v>77.40952380951161</v>
      </c>
      <c r="E62" s="16"/>
      <c r="F62" s="29"/>
      <c r="G62" s="18"/>
      <c r="J62" s="7"/>
      <c r="K62" s="108"/>
      <c r="Q62" s="23"/>
      <c r="R62" s="12">
        <f>IF($P64="Store Lost",1,"")</f>
      </c>
    </row>
    <row r="63" spans="1:18" ht="12.75">
      <c r="A63" s="28"/>
      <c r="B63" s="14"/>
      <c r="C63" s="109" t="s">
        <v>71</v>
      </c>
      <c r="D63" s="121">
        <f>IF(D53,24/D62,0)</f>
        <v>0.310039370078789</v>
      </c>
      <c r="E63" s="125"/>
      <c r="F63" s="126"/>
      <c r="G63" s="127"/>
      <c r="K63" s="108"/>
      <c r="Q63" s="23"/>
      <c r="R63" s="12" t="e">
        <f>IF(#REF!="Store Lost",1,"")</f>
        <v>#REF!</v>
      </c>
    </row>
    <row r="64" spans="1:18" ht="12.75">
      <c r="A64" s="28"/>
      <c r="B64" s="14"/>
      <c r="C64" s="109" t="s">
        <v>72</v>
      </c>
      <c r="D64" s="128">
        <f>D57/D59</f>
        <v>0.9722488038276319</v>
      </c>
      <c r="E64" s="129"/>
      <c r="F64" s="29"/>
      <c r="G64" s="18"/>
      <c r="K64" s="108"/>
      <c r="Q64" s="23"/>
      <c r="R64" s="12" t="e">
        <f>IF(#REF!="Store Lost",1,"")</f>
        <v>#REF!</v>
      </c>
    </row>
    <row r="65" spans="1:18" ht="12.75">
      <c r="A65" s="28"/>
      <c r="B65" s="14"/>
      <c r="C65" s="14"/>
      <c r="D65" s="15"/>
      <c r="E65" s="16"/>
      <c r="F65" s="29"/>
      <c r="G65" s="18"/>
      <c r="K65" s="108"/>
      <c r="Q65" s="23"/>
      <c r="R65" s="12">
        <f aca="true" t="shared" si="7" ref="R65:R74">IF($P67="Store Lost",1,"")</f>
      </c>
    </row>
    <row r="66" spans="1:18" ht="12.75">
      <c r="A66" s="28"/>
      <c r="B66" s="14"/>
      <c r="C66" s="14"/>
      <c r="D66" s="15"/>
      <c r="E66" s="16"/>
      <c r="F66" s="29"/>
      <c r="G66" s="18"/>
      <c r="K66" s="108"/>
      <c r="Q66" s="23"/>
      <c r="R66" s="12">
        <f t="shared" si="7"/>
      </c>
    </row>
    <row r="67" spans="1:18" ht="12.75">
      <c r="A67" s="28"/>
      <c r="B67" s="14"/>
      <c r="C67" s="14"/>
      <c r="D67" s="15"/>
      <c r="E67" s="16"/>
      <c r="F67" s="29"/>
      <c r="G67" s="18"/>
      <c r="K67" s="108"/>
      <c r="Q67" s="23"/>
      <c r="R67" s="12">
        <f t="shared" si="7"/>
      </c>
    </row>
    <row r="68" spans="1:29" s="130" customFormat="1" ht="12.75">
      <c r="A68" s="28"/>
      <c r="B68" s="14"/>
      <c r="C68" s="14"/>
      <c r="D68" s="15"/>
      <c r="E68" s="16"/>
      <c r="F68" s="29"/>
      <c r="G68" s="18"/>
      <c r="H68" s="7"/>
      <c r="I68" s="7"/>
      <c r="J68" s="3"/>
      <c r="K68" s="108"/>
      <c r="L68" s="9"/>
      <c r="M68" s="10"/>
      <c r="N68" s="10"/>
      <c r="O68" s="9"/>
      <c r="P68" s="11"/>
      <c r="Q68" s="23"/>
      <c r="R68" s="12">
        <f t="shared" si="7"/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18" ht="12.75">
      <c r="A69" s="28"/>
      <c r="B69" s="14"/>
      <c r="C69" s="14"/>
      <c r="D69" s="15"/>
      <c r="E69" s="16"/>
      <c r="F69" s="29"/>
      <c r="G69" s="18"/>
      <c r="K69" s="108"/>
      <c r="Q69" s="23"/>
      <c r="R69" s="12">
        <f t="shared" si="7"/>
      </c>
    </row>
    <row r="70" spans="1:18" ht="12.75">
      <c r="A70" s="28"/>
      <c r="B70" s="14"/>
      <c r="C70" s="14"/>
      <c r="D70" s="15"/>
      <c r="E70" s="16"/>
      <c r="F70" s="29"/>
      <c r="G70" s="18"/>
      <c r="K70" s="108"/>
      <c r="Q70" s="23"/>
      <c r="R70" s="12">
        <f t="shared" si="7"/>
      </c>
    </row>
    <row r="71" spans="1:18" ht="12.75">
      <c r="A71" s="28"/>
      <c r="B71" s="14"/>
      <c r="C71" s="14"/>
      <c r="D71" s="15"/>
      <c r="E71" s="16"/>
      <c r="F71" s="29"/>
      <c r="G71" s="18"/>
      <c r="K71" s="108"/>
      <c r="Q71" s="23"/>
      <c r="R71" s="12">
        <f t="shared" si="7"/>
      </c>
    </row>
    <row r="72" spans="1:18" ht="12.75">
      <c r="A72" s="28"/>
      <c r="B72" s="14"/>
      <c r="C72" s="14"/>
      <c r="D72" s="15"/>
      <c r="E72" s="16"/>
      <c r="F72" s="29"/>
      <c r="G72" s="18"/>
      <c r="K72" s="108"/>
      <c r="Q72" s="23"/>
      <c r="R72" s="12">
        <f t="shared" si="7"/>
      </c>
    </row>
    <row r="73" spans="1:18" ht="12.75">
      <c r="A73" s="28"/>
      <c r="B73" s="14"/>
      <c r="C73" s="14"/>
      <c r="D73" s="15"/>
      <c r="E73" s="16"/>
      <c r="F73" s="29"/>
      <c r="G73" s="18"/>
      <c r="K73" s="108"/>
      <c r="Q73" s="23"/>
      <c r="R73" s="12">
        <f t="shared" si="7"/>
      </c>
    </row>
    <row r="74" spans="1:18" ht="12.75">
      <c r="A74" s="28"/>
      <c r="B74" s="14"/>
      <c r="C74" s="14"/>
      <c r="D74" s="15"/>
      <c r="E74" s="16"/>
      <c r="F74" s="29"/>
      <c r="G74" s="18"/>
      <c r="K74" s="108"/>
      <c r="Q74" s="23"/>
      <c r="R74" s="12">
        <f t="shared" si="7"/>
      </c>
    </row>
    <row r="75" spans="1:11" ht="12.75">
      <c r="A75" s="28"/>
      <c r="B75" s="14"/>
      <c r="C75" s="14"/>
      <c r="D75" s="15"/>
      <c r="E75" s="16"/>
      <c r="F75" s="29"/>
      <c r="G75" s="18"/>
      <c r="K75" s="108"/>
    </row>
    <row r="76" spans="1:11" ht="12.75">
      <c r="A76" s="28"/>
      <c r="B76" s="14"/>
      <c r="C76" s="14"/>
      <c r="D76" s="15"/>
      <c r="E76" s="16"/>
      <c r="F76" s="29"/>
      <c r="G76" s="18"/>
      <c r="K76" s="108"/>
    </row>
    <row r="77" spans="1:29" s="131" customFormat="1" ht="12.75">
      <c r="A77" s="28"/>
      <c r="B77" s="14"/>
      <c r="C77" s="14"/>
      <c r="D77" s="15"/>
      <c r="E77" s="16"/>
      <c r="F77" s="29"/>
      <c r="G77" s="18"/>
      <c r="H77" s="19"/>
      <c r="I77" s="19"/>
      <c r="J77" s="15"/>
      <c r="K77" s="20"/>
      <c r="L77" s="21"/>
      <c r="M77" s="22"/>
      <c r="N77" s="22"/>
      <c r="O77" s="21"/>
      <c r="P77" s="23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30" customFormat="1" ht="12.75">
      <c r="A78" s="28"/>
      <c r="B78" s="14"/>
      <c r="C78" s="14"/>
      <c r="D78" s="3"/>
      <c r="E78" s="16"/>
      <c r="F78" s="29"/>
      <c r="G78" s="18"/>
      <c r="H78" s="19"/>
      <c r="I78" s="19"/>
      <c r="J78" s="3"/>
      <c r="K78" s="8"/>
      <c r="L78" s="21"/>
      <c r="M78" s="22"/>
      <c r="N78" s="22"/>
      <c r="O78" s="21"/>
      <c r="P78" s="23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30"/>
      <c r="AB78" s="130"/>
      <c r="AC78" s="130"/>
    </row>
    <row r="79" spans="1:16" ht="12.75">
      <c r="A79" s="28"/>
      <c r="B79" s="14"/>
      <c r="C79" s="14"/>
      <c r="E79" s="16"/>
      <c r="F79" s="29"/>
      <c r="G79" s="18"/>
      <c r="H79" s="19"/>
      <c r="I79" s="19"/>
      <c r="L79" s="21"/>
      <c r="M79" s="22"/>
      <c r="N79" s="22"/>
      <c r="O79" s="21"/>
      <c r="P79" s="23"/>
    </row>
    <row r="80" spans="1:26" ht="12.75">
      <c r="A80" s="28"/>
      <c r="B80" s="14"/>
      <c r="C80" s="14"/>
      <c r="E80" s="16"/>
      <c r="F80" s="29"/>
      <c r="G80" s="18"/>
      <c r="H80" s="19"/>
      <c r="I80" s="19"/>
      <c r="L80" s="21"/>
      <c r="M80" s="22"/>
      <c r="N80" s="22"/>
      <c r="O80" s="21"/>
      <c r="P80" s="23"/>
      <c r="U80" s="130"/>
      <c r="V80" s="130"/>
      <c r="W80" s="130"/>
      <c r="X80" s="130"/>
      <c r="Y80" s="130"/>
      <c r="Z80" s="130"/>
    </row>
    <row r="81" spans="1:16" ht="12.75">
      <c r="A81" s="28"/>
      <c r="B81" s="14"/>
      <c r="C81" s="14"/>
      <c r="F81" s="29"/>
      <c r="G81" s="18"/>
      <c r="H81" s="19"/>
      <c r="I81" s="19"/>
      <c r="L81" s="21"/>
      <c r="M81" s="22"/>
      <c r="N81" s="22"/>
      <c r="O81" s="21"/>
      <c r="P81" s="23"/>
    </row>
    <row r="82" spans="2:20" ht="12.75">
      <c r="B82" s="14"/>
      <c r="C82" s="14"/>
      <c r="F82" s="29"/>
      <c r="G82" s="18"/>
      <c r="H82" s="19"/>
      <c r="I82" s="19"/>
      <c r="L82" s="21"/>
      <c r="M82" s="22"/>
      <c r="N82" s="22"/>
      <c r="O82" s="21"/>
      <c r="P82" s="23"/>
      <c r="R82" s="130"/>
      <c r="S82" s="130"/>
      <c r="T82" s="130"/>
    </row>
    <row r="83" spans="2:16" ht="12.75"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</row>
    <row r="84" spans="2:17" ht="12.75"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Q84" s="12">
        <f aca="true" t="shared" si="8" ref="Q84:Q115">IF($O86="Store Lost",1,"")</f>
      </c>
    </row>
    <row r="85" spans="2:17" ht="12.75">
      <c r="B85" s="14"/>
      <c r="C85" s="14"/>
      <c r="F85" s="29"/>
      <c r="G85" s="18"/>
      <c r="H85" s="19"/>
      <c r="I85" s="19"/>
      <c r="L85" s="21"/>
      <c r="M85" s="22"/>
      <c r="N85" s="22"/>
      <c r="O85" s="21"/>
      <c r="P85" s="23"/>
      <c r="Q85" s="12">
        <f t="shared" si="8"/>
      </c>
    </row>
    <row r="86" spans="2:17" ht="12.75">
      <c r="B86" s="14"/>
      <c r="C86" s="14"/>
      <c r="Q86" s="12">
        <f t="shared" si="8"/>
      </c>
    </row>
    <row r="87" spans="17:29" ht="12.75">
      <c r="Q87" s="12">
        <f t="shared" si="8"/>
      </c>
      <c r="AA87" s="131"/>
      <c r="AB87" s="131"/>
      <c r="AC87" s="131"/>
    </row>
    <row r="88" spans="17:29" ht="12.75">
      <c r="Q88" s="12">
        <f t="shared" si="8"/>
      </c>
      <c r="AA88" s="30"/>
      <c r="AB88" s="30"/>
      <c r="AC88" s="30"/>
    </row>
    <row r="89" spans="17:26" ht="12.75">
      <c r="Q89" s="12">
        <f t="shared" si="8"/>
      </c>
      <c r="U89" s="131"/>
      <c r="V89" s="131"/>
      <c r="W89" s="131"/>
      <c r="X89" s="131"/>
      <c r="Y89" s="131"/>
      <c r="Z89" s="131"/>
    </row>
    <row r="90" spans="17:26" ht="12.75">
      <c r="Q90" s="12">
        <f t="shared" si="8"/>
      </c>
      <c r="U90" s="30"/>
      <c r="V90" s="30"/>
      <c r="W90" s="30"/>
      <c r="X90" s="30"/>
      <c r="Y90" s="30"/>
      <c r="Z90" s="30"/>
    </row>
    <row r="91" spans="1:29" s="130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8"/>
      </c>
      <c r="R91" s="131"/>
      <c r="S91" s="131"/>
      <c r="T91" s="131"/>
      <c r="U91" s="12"/>
      <c r="V91" s="12"/>
      <c r="W91" s="12"/>
      <c r="X91" s="12"/>
      <c r="Y91" s="12"/>
      <c r="Z91" s="12"/>
      <c r="AA91" s="12"/>
      <c r="AB91" s="12"/>
      <c r="AC91" s="12"/>
    </row>
    <row r="92" spans="17:20" ht="12.75">
      <c r="Q92" s="12">
        <f t="shared" si="8"/>
      </c>
      <c r="R92" s="30"/>
      <c r="S92" s="30"/>
      <c r="T92" s="30"/>
    </row>
    <row r="93" ht="12.75">
      <c r="Q93" s="12">
        <f t="shared" si="8"/>
      </c>
    </row>
    <row r="94" ht="12.75">
      <c r="Q94" s="12">
        <f t="shared" si="8"/>
      </c>
    </row>
    <row r="95" ht="12.75">
      <c r="Q95" s="12">
        <f t="shared" si="8"/>
      </c>
    </row>
    <row r="96" ht="12.75">
      <c r="Q96" s="12">
        <f t="shared" si="8"/>
      </c>
    </row>
    <row r="97" ht="12.75">
      <c r="Q97" s="12">
        <f t="shared" si="8"/>
      </c>
    </row>
    <row r="98" ht="12.75">
      <c r="Q98" s="12">
        <f t="shared" si="8"/>
      </c>
    </row>
    <row r="99" ht="12.75">
      <c r="Q99" s="12">
        <f t="shared" si="8"/>
      </c>
    </row>
    <row r="100" ht="12.75">
      <c r="Q100" s="12">
        <f t="shared" si="8"/>
      </c>
    </row>
    <row r="101" spans="17:29" ht="12.75">
      <c r="Q101" s="12">
        <f t="shared" si="8"/>
      </c>
      <c r="AA101" s="130"/>
      <c r="AB101" s="130"/>
      <c r="AC101" s="130"/>
    </row>
    <row r="102" ht="12.75">
      <c r="Q102" s="12">
        <f t="shared" si="8"/>
      </c>
    </row>
    <row r="103" spans="17:26" ht="12.75">
      <c r="Q103" s="12">
        <f t="shared" si="8"/>
      </c>
      <c r="U103" s="130"/>
      <c r="V103" s="130"/>
      <c r="W103" s="130"/>
      <c r="X103" s="130"/>
      <c r="Y103" s="130"/>
      <c r="Z103" s="130"/>
    </row>
    <row r="104" spans="1:29" s="130" customFormat="1" ht="12.75">
      <c r="A104" s="1"/>
      <c r="B104" s="2"/>
      <c r="C104" s="2"/>
      <c r="D104" s="3"/>
      <c r="E104" s="4"/>
      <c r="F104" s="5"/>
      <c r="G104" s="6"/>
      <c r="H104" s="7"/>
      <c r="I104" s="7"/>
      <c r="J104" s="3"/>
      <c r="K104" s="8"/>
      <c r="L104" s="9"/>
      <c r="M104" s="10"/>
      <c r="N104" s="10"/>
      <c r="O104" s="9"/>
      <c r="P104" s="11"/>
      <c r="Q104" s="12">
        <f t="shared" si="8"/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30" customFormat="1" ht="12.75">
      <c r="A105" s="1"/>
      <c r="B105" s="2"/>
      <c r="C105" s="2"/>
      <c r="D105" s="3"/>
      <c r="E105" s="4"/>
      <c r="F105" s="5"/>
      <c r="G105" s="6"/>
      <c r="H105" s="7"/>
      <c r="I105" s="7"/>
      <c r="J105" s="3"/>
      <c r="K105" s="8"/>
      <c r="L105" s="9"/>
      <c r="M105" s="10"/>
      <c r="N105" s="10"/>
      <c r="O105" s="9"/>
      <c r="P105" s="11"/>
      <c r="Q105" s="12">
        <f t="shared" si="8"/>
      </c>
      <c r="R105" s="130"/>
      <c r="S105" s="130"/>
      <c r="T105" s="130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s="130" customFormat="1" ht="12.75">
      <c r="A106" s="1"/>
      <c r="B106" s="2"/>
      <c r="C106" s="2"/>
      <c r="D106" s="3"/>
      <c r="E106" s="4"/>
      <c r="F106" s="5"/>
      <c r="G106" s="6"/>
      <c r="H106" s="7"/>
      <c r="I106" s="7"/>
      <c r="J106" s="3"/>
      <c r="K106" s="8"/>
      <c r="L106" s="9"/>
      <c r="M106" s="10"/>
      <c r="N106" s="10"/>
      <c r="O106" s="9"/>
      <c r="P106" s="11"/>
      <c r="Q106" s="12">
        <f t="shared" si="8"/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ht="12.75">
      <c r="Q107" s="12">
        <f t="shared" si="8"/>
      </c>
    </row>
    <row r="108" ht="12.75">
      <c r="Q108" s="12">
        <f t="shared" si="8"/>
      </c>
    </row>
    <row r="109" ht="12.75">
      <c r="Q109" s="12">
        <f t="shared" si="8"/>
      </c>
    </row>
    <row r="110" ht="12.75">
      <c r="Q110" s="12">
        <f t="shared" si="8"/>
      </c>
    </row>
    <row r="111" ht="12.75">
      <c r="Q111" s="12">
        <f t="shared" si="8"/>
      </c>
    </row>
    <row r="112" ht="12.75">
      <c r="Q112" s="12">
        <f t="shared" si="8"/>
      </c>
    </row>
    <row r="113" ht="12.75">
      <c r="Q113" s="12">
        <f t="shared" si="8"/>
      </c>
    </row>
    <row r="114" spans="17:29" ht="12.75">
      <c r="Q114" s="12">
        <f t="shared" si="8"/>
      </c>
      <c r="AA114" s="130"/>
      <c r="AB114" s="130"/>
      <c r="AC114" s="130"/>
    </row>
    <row r="115" spans="17:29" ht="12.75">
      <c r="Q115" s="12">
        <f t="shared" si="8"/>
      </c>
      <c r="AA115" s="30"/>
      <c r="AB115" s="30"/>
      <c r="AC115" s="30"/>
    </row>
    <row r="116" spans="17:29" ht="12.75">
      <c r="Q116" s="12">
        <f aca="true" t="shared" si="9" ref="Q116:Q141">IF($O118="Store Lost",1,"")</f>
      </c>
      <c r="U116" s="130"/>
      <c r="V116" s="130"/>
      <c r="W116" s="130"/>
      <c r="X116" s="130"/>
      <c r="Y116" s="130"/>
      <c r="Z116" s="130"/>
      <c r="AA116" s="130"/>
      <c r="AB116" s="130"/>
      <c r="AC116" s="130"/>
    </row>
    <row r="117" spans="17:26" ht="12.75">
      <c r="Q117" s="12">
        <f t="shared" si="9"/>
      </c>
      <c r="U117" s="30"/>
      <c r="V117" s="30"/>
      <c r="W117" s="30"/>
      <c r="X117" s="30"/>
      <c r="Y117" s="30"/>
      <c r="Z117" s="30"/>
    </row>
    <row r="118" spans="17:26" ht="12.75">
      <c r="Q118" s="12">
        <f t="shared" si="9"/>
      </c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7:20" ht="12.75">
      <c r="Q119" s="12">
        <f t="shared" si="9"/>
      </c>
      <c r="R119" s="30"/>
      <c r="S119" s="30"/>
      <c r="T119" s="30"/>
    </row>
    <row r="120" spans="17:20" ht="12.75">
      <c r="Q120" s="12">
        <f t="shared" si="9"/>
      </c>
      <c r="R120" s="130"/>
      <c r="S120" s="130"/>
      <c r="T120" s="130"/>
    </row>
    <row r="121" ht="12.75">
      <c r="Q121" s="12">
        <f t="shared" si="9"/>
      </c>
    </row>
    <row r="122" ht="12.75">
      <c r="Q122" s="12">
        <f t="shared" si="9"/>
      </c>
    </row>
    <row r="123" ht="12.75">
      <c r="Q123" s="12">
        <f t="shared" si="9"/>
      </c>
    </row>
    <row r="124" ht="12.75">
      <c r="Q124" s="12">
        <f t="shared" si="9"/>
      </c>
    </row>
    <row r="125" ht="12.75">
      <c r="Q125" s="12">
        <f t="shared" si="9"/>
      </c>
    </row>
    <row r="126" ht="12.75">
      <c r="Q126" s="12">
        <f t="shared" si="9"/>
      </c>
    </row>
    <row r="127" spans="1:29" s="130" customFormat="1" ht="12.75">
      <c r="A127" s="1"/>
      <c r="B127" s="2"/>
      <c r="C127" s="2"/>
      <c r="D127" s="3"/>
      <c r="E127" s="4"/>
      <c r="F127" s="5"/>
      <c r="G127" s="6"/>
      <c r="H127" s="7"/>
      <c r="I127" s="7"/>
      <c r="J127" s="3"/>
      <c r="K127" s="8"/>
      <c r="L127" s="9"/>
      <c r="M127" s="10"/>
      <c r="N127" s="10"/>
      <c r="O127" s="9"/>
      <c r="P127" s="11"/>
      <c r="Q127" s="12">
        <f t="shared" si="9"/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ht="12.75">
      <c r="Q128" s="12">
        <f t="shared" si="9"/>
      </c>
    </row>
    <row r="129" ht="12.75">
      <c r="Q129" s="12">
        <f t="shared" si="9"/>
      </c>
    </row>
    <row r="130" ht="12.75">
      <c r="Q130" s="12">
        <f t="shared" si="9"/>
      </c>
    </row>
    <row r="131" ht="12.75">
      <c r="Q131" s="12">
        <f t="shared" si="9"/>
      </c>
    </row>
    <row r="132" ht="12.75">
      <c r="Q132" s="12">
        <f t="shared" si="9"/>
      </c>
    </row>
    <row r="133" ht="12.75">
      <c r="Q133" s="12">
        <f t="shared" si="9"/>
      </c>
    </row>
    <row r="134" ht="12.75">
      <c r="Q134" s="12">
        <f t="shared" si="9"/>
      </c>
    </row>
    <row r="135" ht="12.75">
      <c r="Q135" s="12">
        <f t="shared" si="9"/>
      </c>
    </row>
    <row r="136" ht="12.75">
      <c r="Q136" s="12">
        <f t="shared" si="9"/>
      </c>
    </row>
    <row r="137" spans="17:29" ht="12.75">
      <c r="Q137" s="12">
        <f t="shared" si="9"/>
      </c>
      <c r="AA137" s="130"/>
      <c r="AB137" s="130"/>
      <c r="AC137" s="130"/>
    </row>
    <row r="138" ht="12.75">
      <c r="Q138" s="12">
        <f t="shared" si="9"/>
      </c>
    </row>
    <row r="139" spans="17:26" ht="12.75">
      <c r="Q139" s="12">
        <f t="shared" si="9"/>
      </c>
      <c r="U139" s="130"/>
      <c r="V139" s="130"/>
      <c r="W139" s="130"/>
      <c r="X139" s="130"/>
      <c r="Y139" s="130"/>
      <c r="Z139" s="130"/>
    </row>
    <row r="140" ht="12.75">
      <c r="Q140" s="12">
        <f t="shared" si="9"/>
      </c>
    </row>
    <row r="141" spans="17:20" ht="12.75">
      <c r="Q141" s="12">
        <f t="shared" si="9"/>
      </c>
      <c r="R141" s="130"/>
      <c r="S141" s="130"/>
      <c r="T141" s="130"/>
    </row>
    <row r="145" ht="12.75">
      <c r="Q145" s="12">
        <f>COUNT(Q51:Q141)</f>
        <v>2</v>
      </c>
    </row>
  </sheetData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8" width="12.00390625" style="0" customWidth="1"/>
    <col min="9" max="9" width="10.28125" style="0" customWidth="1"/>
    <col min="10" max="10" width="8.28125" style="0" customWidth="1"/>
    <col min="11" max="11" width="10.57421875" style="0" customWidth="1"/>
    <col min="12" max="14" width="8.28125" style="0" customWidth="1"/>
    <col min="15" max="15" width="12.421875" style="0" customWidth="1"/>
    <col min="16" max="16" width="9.8515625" style="0" customWidth="1"/>
    <col min="17" max="17" width="9.421875" style="0" customWidth="1"/>
    <col min="18" max="18" width="6.421875" style="0" customWidth="1"/>
    <col min="19" max="19" width="9.421875" style="0" customWidth="1"/>
    <col min="20" max="20" width="14.57421875" style="0" customWidth="1"/>
    <col min="22" max="24" width="6.57421875" style="0" customWidth="1"/>
    <col min="25" max="25" width="11.140625" style="0" customWidth="1"/>
    <col min="26" max="26" width="10.57421875" style="0" customWidth="1"/>
  </cols>
  <sheetData>
    <row r="3" spans="1:9" ht="12.75">
      <c r="A3" s="132"/>
      <c r="B3" s="168" t="s">
        <v>14</v>
      </c>
      <c r="C3" s="169"/>
      <c r="D3" s="169"/>
      <c r="E3" s="169"/>
      <c r="F3" s="169"/>
      <c r="G3" s="169"/>
      <c r="H3" s="169"/>
      <c r="I3" s="170"/>
    </row>
    <row r="4" spans="1:9" ht="12.75">
      <c r="A4" s="168" t="s">
        <v>73</v>
      </c>
      <c r="B4" s="132" t="s">
        <v>23</v>
      </c>
      <c r="C4" s="171" t="s">
        <v>30</v>
      </c>
      <c r="D4" s="171" t="s">
        <v>32</v>
      </c>
      <c r="E4" s="171" t="s">
        <v>39</v>
      </c>
      <c r="F4" s="171" t="s">
        <v>48</v>
      </c>
      <c r="G4" s="171" t="s">
        <v>53</v>
      </c>
      <c r="H4" s="171" t="s">
        <v>56</v>
      </c>
      <c r="I4" s="172" t="s">
        <v>75</v>
      </c>
    </row>
    <row r="5" spans="1:9" ht="12.75">
      <c r="A5" s="132" t="s">
        <v>99</v>
      </c>
      <c r="B5" s="133">
        <v>1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5">
        <v>1</v>
      </c>
    </row>
    <row r="6" spans="1:9" ht="12.75">
      <c r="A6" s="173" t="s">
        <v>100</v>
      </c>
      <c r="B6" s="136">
        <v>0</v>
      </c>
      <c r="C6" s="137">
        <v>0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138">
        <v>0</v>
      </c>
    </row>
    <row r="7" spans="1:9" ht="12.75">
      <c r="A7" s="173" t="s">
        <v>101</v>
      </c>
      <c r="B7" s="136">
        <v>10</v>
      </c>
      <c r="C7" s="137">
        <v>2</v>
      </c>
      <c r="D7" s="137">
        <v>3</v>
      </c>
      <c r="E7" s="137">
        <v>1</v>
      </c>
      <c r="F7" s="137">
        <v>1</v>
      </c>
      <c r="G7" s="137">
        <v>3</v>
      </c>
      <c r="H7" s="137">
        <v>1</v>
      </c>
      <c r="I7" s="138">
        <v>21</v>
      </c>
    </row>
    <row r="8" spans="1:9" ht="12.75">
      <c r="A8" s="174" t="s">
        <v>76</v>
      </c>
      <c r="B8" s="175">
        <v>23.250000000174623</v>
      </c>
      <c r="C8" s="176">
        <v>0.75</v>
      </c>
      <c r="D8" s="176">
        <v>11.783333333325572</v>
      </c>
      <c r="E8" s="176">
        <v>0.9999999999417923</v>
      </c>
      <c r="F8" s="176">
        <v>0.6666666667442769</v>
      </c>
      <c r="G8" s="176">
        <v>8.666666666627862</v>
      </c>
      <c r="H8" s="176">
        <v>0.28333333338378</v>
      </c>
      <c r="I8" s="177">
        <v>46.400000000197906</v>
      </c>
    </row>
    <row r="13" spans="2:20" ht="12.75">
      <c r="B13" s="139" t="s">
        <v>23</v>
      </c>
      <c r="C13" s="140" t="s">
        <v>77</v>
      </c>
      <c r="D13" s="140" t="s">
        <v>32</v>
      </c>
      <c r="E13" s="140" t="s">
        <v>78</v>
      </c>
      <c r="F13" s="140" t="s">
        <v>79</v>
      </c>
      <c r="G13" s="140" t="s">
        <v>80</v>
      </c>
      <c r="H13" s="140" t="s">
        <v>81</v>
      </c>
      <c r="I13" s="140" t="s">
        <v>82</v>
      </c>
      <c r="J13" s="140" t="s">
        <v>83</v>
      </c>
      <c r="K13" s="140" t="s">
        <v>84</v>
      </c>
      <c r="L13" s="140" t="s">
        <v>85</v>
      </c>
      <c r="M13" s="140" t="s">
        <v>86</v>
      </c>
      <c r="N13" s="140" t="s">
        <v>87</v>
      </c>
      <c r="O13" s="140" t="s">
        <v>88</v>
      </c>
      <c r="P13" s="140" t="s">
        <v>74</v>
      </c>
      <c r="Q13" s="141" t="s">
        <v>89</v>
      </c>
      <c r="R13" s="142" t="s">
        <v>90</v>
      </c>
      <c r="S13" s="142" t="s">
        <v>75</v>
      </c>
      <c r="T13" s="143" t="s">
        <v>91</v>
      </c>
    </row>
    <row r="15" spans="1:20" s="147" customFormat="1" ht="12.75">
      <c r="A15" s="144" t="s">
        <v>102</v>
      </c>
      <c r="B15" s="145">
        <f>IF(B17,SUM(B17/B26),"")</f>
        <v>0.013905502392449422</v>
      </c>
      <c r="C15" s="145">
        <f>IF(C17,SUM(C17/B26),"")</f>
        <v>0.005183413078126892</v>
      </c>
      <c r="D15" s="145">
        <f>IF(D17,SUM(D17/B26),"")</f>
        <v>0.007047448165864822</v>
      </c>
      <c r="E15" s="145">
        <f>IF(E17,SUM(E17/B26),"")</f>
      </c>
      <c r="F15" s="145">
        <f>IF(F17,SUM(F17/B26),"")</f>
      </c>
      <c r="G15" s="145">
        <f>IF(G17,SUM(G17/B26),0)</f>
        <v>0.0003987240829810407</v>
      </c>
      <c r="H15" s="145">
        <f>IF(H17,SUM(H17/B26),"")</f>
      </c>
      <c r="I15" s="145">
        <f>IF(I17,SUM(I17/B26),"")</f>
      </c>
      <c r="J15" s="145">
        <f>IF(J17,SUM(J17/B26),"")</f>
        <v>0.0005980861243671215</v>
      </c>
      <c r="K15" s="145">
        <f>IF(K17,SUM(K17/B26),"")</f>
      </c>
      <c r="L15" s="145">
        <f>IF(L17,SUM(L17/B26),"")</f>
      </c>
      <c r="M15" s="145">
        <f>IF(M17,SUM(M17/B26),"")</f>
      </c>
      <c r="N15" s="145">
        <f>IF(N17,SUM(N17/B26),"")</f>
      </c>
      <c r="O15" s="145">
        <f>IF(O17,SUM(O17/B26),"")</f>
      </c>
      <c r="P15" s="145">
        <f>IF(P17,SUM(P17/B26),"")</f>
        <v>0.00016945773527738626</v>
      </c>
      <c r="Q15" s="145">
        <f>IF(Q17,SUM(Q17/B26),"")</f>
      </c>
      <c r="R15" s="145">
        <f>IF(R17,SUM(R17/B26),"")</f>
        <v>0.00044856459330145103</v>
      </c>
      <c r="S15" s="145">
        <f>IF(S17,SUM(S17/B26),"")</f>
        <v>0.027751196172368136</v>
      </c>
      <c r="T15" s="146">
        <f>IF(T17,SUM(T17/M13),"")</f>
      </c>
    </row>
    <row r="16" spans="1:20" ht="12.75">
      <c r="A16" s="144" t="s">
        <v>92</v>
      </c>
      <c r="B16" s="148">
        <f>'[1]reliabilitySummary'!$B$7</f>
        <v>0.005399999999999999</v>
      </c>
      <c r="C16" s="148">
        <f>'[1]reliabilitySummary'!$B$8</f>
        <v>0.0012</v>
      </c>
      <c r="D16" s="148">
        <f>'[1]reliabilitySummary'!$B$9</f>
        <v>0.005399999999999999</v>
      </c>
      <c r="E16" s="148">
        <f>'[1]reliabilitySummary'!$B$10</f>
        <v>0.003</v>
      </c>
      <c r="F16" s="148">
        <f>'[1]reliabilitySummary'!$B$13</f>
        <v>0.0006</v>
      </c>
      <c r="G16" s="148">
        <f>'[1]reliabilitySummary'!$B$14</f>
        <v>0.0006</v>
      </c>
      <c r="H16" s="148">
        <f>'[1]reliabilitySummary'!$B$15</f>
        <v>0.0006</v>
      </c>
      <c r="I16" s="148">
        <f>'[1]reliabilitySummary'!$B$16</f>
        <v>0.0036</v>
      </c>
      <c r="J16" s="148">
        <f>'[1]reliabilitySummary'!$B$8</f>
        <v>0.0012</v>
      </c>
      <c r="K16" s="148">
        <f>'[1]reliabilitySummary'!$B$19</f>
        <v>0</v>
      </c>
      <c r="L16" s="148">
        <f>'[1]reliabilitySummary'!$B$20</f>
        <v>0.0006</v>
      </c>
      <c r="M16" s="148">
        <f>'[1]reliabilitySummary'!$B$24</f>
        <v>0.0006</v>
      </c>
      <c r="N16" s="148">
        <f>'[1]reliabilitySummary'!$B$25</f>
        <v>0.0018</v>
      </c>
      <c r="O16" s="148">
        <f>'[1]reliabilitySummary'!$B$26</f>
        <v>0.0006</v>
      </c>
      <c r="P16" s="148">
        <f>'[1]reliabilitySummary'!$B$27</f>
        <v>0.0018</v>
      </c>
      <c r="Q16" s="148">
        <f>'[1]reliabilitySummary'!$B$11</f>
        <v>0.0012</v>
      </c>
      <c r="R16" s="148">
        <f>'[1]reliabilitySummary'!$B$28</f>
        <v>0.0006</v>
      </c>
      <c r="S16" s="148">
        <v>0.03</v>
      </c>
      <c r="T16" s="149"/>
    </row>
    <row r="17" spans="1:20" s="147" customFormat="1" ht="12.75">
      <c r="A17" s="144" t="s">
        <v>93</v>
      </c>
      <c r="B17" s="146">
        <f>GETPIVOTDATA("Sum of System
Length",$A$3,"Group","RF")</f>
        <v>23.250000000174623</v>
      </c>
      <c r="C17" s="146">
        <f>GETPIVOTDATA("Sum of System
Length",$A$3,"Group","DIA")</f>
        <v>8.666666666627862</v>
      </c>
      <c r="D17" s="146">
        <f>GETPIVOTDATA("Sum of System
Length",$A$3,"Group","PS")</f>
        <v>11.783333333325572</v>
      </c>
      <c r="E17" s="146"/>
      <c r="F17" s="146"/>
      <c r="G17" s="146">
        <f>GETPIVOTDATA("Sum of System
Length",$A$3,"Group","SI")</f>
        <v>0.6666666667442769</v>
      </c>
      <c r="H17" s="146"/>
      <c r="I17" s="146"/>
      <c r="J17" s="146">
        <f>GETPIVOTDATA("Sum of System
Length",$A$3,"Group","AOP")</f>
        <v>0.9999999999417923</v>
      </c>
      <c r="K17" s="146"/>
      <c r="L17" s="146"/>
      <c r="M17" s="146"/>
      <c r="N17" s="146"/>
      <c r="O17" s="146"/>
      <c r="P17" s="146">
        <f>GETPIVOTDATA("Sum of System
Length",$A$3,"Group","UES")</f>
        <v>0.28333333338378</v>
      </c>
      <c r="Q17" s="150"/>
      <c r="R17" s="146">
        <f>GETPIVOTDATA("Sum of System
Length",$A$3,"Group","UNk")</f>
        <v>0.75</v>
      </c>
      <c r="S17" s="150">
        <f>SUM(B17:R17)</f>
        <v>46.400000000197906</v>
      </c>
      <c r="T17" s="151"/>
    </row>
    <row r="18" spans="1:20" ht="12.75">
      <c r="A18" s="144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9"/>
    </row>
    <row r="20" spans="1:19" ht="13.5" thickBot="1">
      <c r="A20" s="152" t="s">
        <v>94</v>
      </c>
      <c r="B20" s="137">
        <f>GETPIVOTDATA("Sum - Store Lost",$A$3,"Group","RF")</f>
        <v>10</v>
      </c>
      <c r="C20" s="137">
        <f>GETPIVOTDATA("Sum - Store Lost",$A$3,"Group","DIA")</f>
        <v>3</v>
      </c>
      <c r="D20" s="137">
        <f>GETPIVOTDATA("Sum - Store Lost",$A$3,"Group","PS")</f>
        <v>3</v>
      </c>
      <c r="G20" s="137">
        <f>GETPIVOTDATA("Sum - Store Lost",$A$3,"Group","SI")</f>
        <v>1</v>
      </c>
      <c r="H20" s="137"/>
      <c r="I20" s="137"/>
      <c r="J20" s="137">
        <f>GETPIVOTDATA("Sum - Store Lost",$A$3,"Group","AOP")</f>
        <v>1</v>
      </c>
      <c r="K20" s="137"/>
      <c r="L20" s="137"/>
      <c r="M20" s="137"/>
      <c r="N20" s="137"/>
      <c r="O20" s="137"/>
      <c r="P20" s="137">
        <f>GETPIVOTDATA("Sum - Store Lost",$A$3,"Group","UES")</f>
        <v>1</v>
      </c>
      <c r="Q20" s="137"/>
      <c r="R20" s="137">
        <f>GETPIVOTDATA("Sum - Store Lost",$A$3,"Group","UNK")</f>
        <v>2</v>
      </c>
      <c r="S20" s="150">
        <f>SUM(B20:R20)</f>
        <v>21</v>
      </c>
    </row>
    <row r="21" spans="2:19" ht="12.75">
      <c r="B21" s="139" t="s">
        <v>23</v>
      </c>
      <c r="C21" s="140" t="s">
        <v>77</v>
      </c>
      <c r="D21" s="140" t="s">
        <v>32</v>
      </c>
      <c r="E21" s="140" t="s">
        <v>78</v>
      </c>
      <c r="F21" s="140" t="s">
        <v>79</v>
      </c>
      <c r="G21" s="140" t="s">
        <v>80</v>
      </c>
      <c r="H21" s="140" t="s">
        <v>81</v>
      </c>
      <c r="I21" s="140" t="s">
        <v>95</v>
      </c>
      <c r="J21" s="140" t="s">
        <v>83</v>
      </c>
      <c r="K21" s="140" t="s">
        <v>84</v>
      </c>
      <c r="L21" s="140" t="s">
        <v>85</v>
      </c>
      <c r="M21" s="140" t="s">
        <v>86</v>
      </c>
      <c r="N21" s="140" t="s">
        <v>87</v>
      </c>
      <c r="O21" s="140" t="s">
        <v>88</v>
      </c>
      <c r="P21" s="140" t="s">
        <v>74</v>
      </c>
      <c r="Q21" s="141" t="s">
        <v>89</v>
      </c>
      <c r="R21" s="142" t="s">
        <v>90</v>
      </c>
      <c r="S21" s="150"/>
    </row>
    <row r="22" spans="1:19" ht="12.75">
      <c r="A22" s="144" t="s">
        <v>102</v>
      </c>
      <c r="B22" s="153">
        <f aca="true" t="shared" si="0" ref="B22:H22">B20/($B25/24)</f>
        <v>0.1476377952756138</v>
      </c>
      <c r="C22" s="153">
        <f t="shared" si="0"/>
        <v>0.044291338582684144</v>
      </c>
      <c r="D22" s="153">
        <f t="shared" si="0"/>
        <v>0.044291338582684144</v>
      </c>
      <c r="E22" s="153">
        <f t="shared" si="0"/>
        <v>0</v>
      </c>
      <c r="F22" s="153">
        <f t="shared" si="0"/>
        <v>0</v>
      </c>
      <c r="G22" s="154">
        <f t="shared" si="0"/>
        <v>0.014763779527561381</v>
      </c>
      <c r="H22" s="153">
        <f t="shared" si="0"/>
        <v>0</v>
      </c>
      <c r="I22" s="153"/>
      <c r="J22" s="155">
        <f>J20/($B25/24)</f>
        <v>0.014763779527561381</v>
      </c>
      <c r="K22" s="155">
        <f>K20/($B25/24)</f>
        <v>0</v>
      </c>
      <c r="L22" s="153">
        <f>L20/($B25/24)</f>
        <v>0</v>
      </c>
      <c r="M22" s="155"/>
      <c r="N22" s="153">
        <f>N20/($B25/24)</f>
        <v>0</v>
      </c>
      <c r="O22" s="153">
        <f>O20/($B25/24)</f>
        <v>0</v>
      </c>
      <c r="P22" s="156"/>
      <c r="Q22" s="153">
        <f>Q20/($B25/24)</f>
        <v>0</v>
      </c>
      <c r="R22" s="153">
        <f>R20/($B25/24)</f>
        <v>0.029527559055122762</v>
      </c>
      <c r="S22" s="153">
        <f>S20/($B25/24)</f>
        <v>0.310039370078789</v>
      </c>
    </row>
    <row r="23" spans="1:20" ht="12.75">
      <c r="A23" s="157" t="s">
        <v>92</v>
      </c>
      <c r="B23" s="158">
        <f>'[1]reliabilitySummary'!$F$7</f>
        <v>0.12</v>
      </c>
      <c r="C23" s="158">
        <f>'[1]reliabilitySummary'!$F$8</f>
        <v>0.03</v>
      </c>
      <c r="D23" s="158">
        <f>'[1]reliabilitySummary'!$F$9</f>
        <v>0.12</v>
      </c>
      <c r="E23" s="158">
        <v>0.05</v>
      </c>
      <c r="F23" s="158">
        <v>0.01</v>
      </c>
      <c r="G23" s="158">
        <v>0.01</v>
      </c>
      <c r="H23" s="158">
        <v>0.02</v>
      </c>
      <c r="I23" s="158">
        <v>0.06</v>
      </c>
      <c r="J23" s="158">
        <v>0.02</v>
      </c>
      <c r="K23" s="159">
        <v>0</v>
      </c>
      <c r="L23" s="159">
        <v>0.01</v>
      </c>
      <c r="M23" s="159">
        <v>0.01</v>
      </c>
      <c r="N23" s="159">
        <v>0.01</v>
      </c>
      <c r="O23" s="159">
        <v>0.01</v>
      </c>
      <c r="P23" s="159">
        <v>0.02</v>
      </c>
      <c r="Q23" s="159">
        <v>0.01</v>
      </c>
      <c r="R23" s="159">
        <v>0.02</v>
      </c>
      <c r="S23" s="159">
        <f>SUM(B23:R23)</f>
        <v>0.5300000000000001</v>
      </c>
      <c r="T23" s="160"/>
    </row>
    <row r="25" spans="1:2" ht="12.75">
      <c r="A25" s="109" t="s">
        <v>65</v>
      </c>
      <c r="B25" s="147">
        <f>'Main Data'!D57</f>
        <v>1625.5999999997439</v>
      </c>
    </row>
    <row r="26" spans="1:2" ht="12.75">
      <c r="A26" s="161" t="s">
        <v>69</v>
      </c>
      <c r="B26" s="159">
        <f>'Main Data'!D59</f>
        <v>1671.9999999999418</v>
      </c>
    </row>
    <row r="29" spans="1:7" ht="12.75">
      <c r="A29" s="132"/>
      <c r="B29" s="132"/>
      <c r="C29" s="169"/>
      <c r="D29" s="169"/>
      <c r="E29" s="169"/>
      <c r="F29" s="169"/>
      <c r="G29" s="170"/>
    </row>
    <row r="30" spans="1:7" ht="12.75">
      <c r="A30" s="132"/>
      <c r="B30" s="132"/>
      <c r="C30" s="169"/>
      <c r="D30" s="169"/>
      <c r="E30" s="169"/>
      <c r="F30" s="169"/>
      <c r="G30" s="170"/>
    </row>
    <row r="31" spans="1:7" ht="12.75">
      <c r="A31" s="178"/>
      <c r="B31" s="178"/>
      <c r="C31" s="179"/>
      <c r="D31" s="179"/>
      <c r="E31" s="179"/>
      <c r="F31" s="179"/>
      <c r="G31" s="180"/>
    </row>
    <row r="32" spans="1:7" ht="12.75">
      <c r="A32" s="178"/>
      <c r="B32" s="178"/>
      <c r="C32" s="179"/>
      <c r="D32" s="179"/>
      <c r="E32" s="179"/>
      <c r="F32" s="179"/>
      <c r="G32" s="180"/>
    </row>
    <row r="33" spans="1:7" ht="12.75">
      <c r="A33" s="178"/>
      <c r="B33" s="178"/>
      <c r="C33" s="179"/>
      <c r="D33" s="179"/>
      <c r="E33" s="179"/>
      <c r="F33" s="179"/>
      <c r="G33" s="180"/>
    </row>
    <row r="34" spans="1:7" ht="12.75">
      <c r="A34" s="178"/>
      <c r="B34" s="178"/>
      <c r="C34" s="179"/>
      <c r="D34" s="179"/>
      <c r="E34" s="179"/>
      <c r="F34" s="179"/>
      <c r="G34" s="180"/>
    </row>
    <row r="35" spans="1:7" ht="12.75">
      <c r="A35" s="178"/>
      <c r="B35" s="178"/>
      <c r="C35" s="179"/>
      <c r="D35" s="179"/>
      <c r="E35" s="179"/>
      <c r="F35" s="179"/>
      <c r="G35" s="180"/>
    </row>
    <row r="36" spans="1:7" ht="12.75">
      <c r="A36" s="178"/>
      <c r="B36" s="178"/>
      <c r="C36" s="179"/>
      <c r="D36" s="179"/>
      <c r="E36" s="179"/>
      <c r="F36" s="179"/>
      <c r="G36" s="180"/>
    </row>
    <row r="37" spans="1:7" ht="12.75">
      <c r="A37" s="178"/>
      <c r="B37" s="178"/>
      <c r="C37" s="179"/>
      <c r="D37" s="179"/>
      <c r="E37" s="179"/>
      <c r="F37" s="179"/>
      <c r="G37" s="180"/>
    </row>
    <row r="38" spans="1:7" ht="12.75">
      <c r="A38" s="178"/>
      <c r="B38" s="178"/>
      <c r="C38" s="179"/>
      <c r="D38" s="179"/>
      <c r="E38" s="179"/>
      <c r="F38" s="179"/>
      <c r="G38" s="180"/>
    </row>
    <row r="39" spans="1:7" ht="12.75">
      <c r="A39" s="178"/>
      <c r="B39" s="178"/>
      <c r="C39" s="179"/>
      <c r="D39" s="179"/>
      <c r="E39" s="179"/>
      <c r="F39" s="179"/>
      <c r="G39" s="180"/>
    </row>
    <row r="40" spans="1:7" ht="12.75">
      <c r="A40" s="178"/>
      <c r="B40" s="178"/>
      <c r="C40" s="179"/>
      <c r="D40" s="179"/>
      <c r="E40" s="179"/>
      <c r="F40" s="179"/>
      <c r="G40" s="180"/>
    </row>
    <row r="41" spans="1:7" ht="12.75">
      <c r="A41" s="178"/>
      <c r="B41" s="178"/>
      <c r="C41" s="179"/>
      <c r="D41" s="179"/>
      <c r="E41" s="179"/>
      <c r="F41" s="179"/>
      <c r="G41" s="180"/>
    </row>
    <row r="42" spans="1:7" ht="12.75">
      <c r="A42" s="181"/>
      <c r="B42" s="181"/>
      <c r="C42" s="182"/>
      <c r="D42" s="182"/>
      <c r="E42" s="182"/>
      <c r="F42" s="182"/>
      <c r="G42" s="18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21" max="21" width="37.42187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A16" sqref="AA16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flood</cp:lastModifiedBy>
  <cp:lastPrinted>2009-09-15T16:17:50Z</cp:lastPrinted>
  <dcterms:modified xsi:type="dcterms:W3CDTF">2009-09-15T16:20:18Z</dcterms:modified>
  <cp:category/>
  <cp:version/>
  <cp:contentType/>
  <cp:contentStatus/>
</cp:coreProperties>
</file>