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4" yWindow="65524" windowWidth="17208" windowHeight="5640" tabRatio="772" activeTab="3"/>
  </bookViews>
  <sheets>
    <sheet name="Main Data" sheetId="1" r:id="rId1"/>
    <sheet name="Stats" sheetId="2" r:id="rId2"/>
    <sheet name="Downtime" sheetId="3" r:id="rId3"/>
    <sheet name="Faults Per Day" sheetId="4" r:id="rId4"/>
  </sheets>
  <externalReferences>
    <externalReference r:id="rId8"/>
  </externalReferences>
  <definedNames>
    <definedName name="DT_Beamline">#REF!</definedName>
    <definedName name="DT_Controls">#REF!</definedName>
    <definedName name="DT_Diagnostics">#REF!</definedName>
    <definedName name="DT_OAG">#REF!</definedName>
    <definedName name="DT_Operations">#REF!</definedName>
    <definedName name="DT_Other">#REF!</definedName>
    <definedName name="DT_Physics">#REF!</definedName>
    <definedName name="DT_PS">#REF!</definedName>
    <definedName name="DT_RF">#REF!</definedName>
    <definedName name="DT_Scheduled">#REF!</definedName>
    <definedName name="DT_Vacuum">#REF!</definedName>
    <definedName name="DT_Water">#REF!</definedName>
    <definedName name="Faults_Day_of_Delivered_Beam">'Main Data'!$D$104</definedName>
    <definedName name="Mean_Time_Between_Faults">'Main Data'!$D$103</definedName>
    <definedName name="Number_of_Fills">'Main Data'!$D$96</definedName>
    <definedName name="Number_of_Intentional_Dumps">'Main Data'!$D$95</definedName>
    <definedName name="Number_of_Lost_Fills">'Main Data'!$D$94</definedName>
    <definedName name="_xlnm.Print_Area" localSheetId="3">'Faults Per Day'!$A$1:$W$67</definedName>
    <definedName name="_xlnm.Print_Area" localSheetId="0">'Main Data'!$A$2:$P$61</definedName>
    <definedName name="_xlnm.Print_Titles" localSheetId="0">'Main Data'!$5:$5</definedName>
    <definedName name="Refill_Time">'Main Data'!$D$1</definedName>
    <definedName name="Total_Schedule_Run_Length">'Main Data'!$D$100</definedName>
    <definedName name="Total_System_Downtime">'Main Data'!$K$96</definedName>
    <definedName name="Total_User_Beam">'Main Data'!$D$98</definedName>
    <definedName name="Total_User_Downtime">'Main Data'!$D$99</definedName>
    <definedName name="User_Beam_Days">'Main Data'!$E$98</definedName>
    <definedName name="X_ray_Availability">'Main Data'!$D$105</definedName>
  </definedNames>
  <calcPr fullCalcOnLoad="1"/>
  <pivotCaches>
    <pivotCache cacheId="5" r:id="rId5"/>
  </pivotCaches>
</workbook>
</file>

<file path=xl/sharedStrings.xml><?xml version="1.0" encoding="utf-8"?>
<sst xmlns="http://schemas.openxmlformats.org/spreadsheetml/2006/main" count="203" uniqueCount="91">
  <si>
    <t>Start</t>
  </si>
  <si>
    <t>End</t>
  </si>
  <si>
    <t>Length</t>
  </si>
  <si>
    <t>Fill #</t>
  </si>
  <si>
    <t>Cause</t>
  </si>
  <si>
    <t>Type</t>
  </si>
  <si>
    <t>Audit</t>
  </si>
  <si>
    <t>User 
Length</t>
  </si>
  <si>
    <t>Downtime</t>
  </si>
  <si>
    <t>User</t>
  </si>
  <si>
    <t>System</t>
  </si>
  <si>
    <t>Total User Beam</t>
  </si>
  <si>
    <t>Total User Downtime</t>
  </si>
  <si>
    <t>Total Schedule Run Length</t>
  </si>
  <si>
    <t>Number of Fills</t>
  </si>
  <si>
    <t>Number of Lost Fills</t>
  </si>
  <si>
    <t>Faults/Day of Delivered Beam</t>
  </si>
  <si>
    <t>X-ray Availability</t>
  </si>
  <si>
    <t>Number of Intentional Dumps</t>
  </si>
  <si>
    <t>Loss 
Reason</t>
  </si>
  <si>
    <t>DIN #</t>
  </si>
  <si>
    <t>System
Length</t>
  </si>
  <si>
    <t>Default Storage Ring Refill Time</t>
  </si>
  <si>
    <t>Refill Timing in Days</t>
  </si>
  <si>
    <t>Scheduled</t>
  </si>
  <si>
    <t>Description</t>
  </si>
  <si>
    <t>Store Lost</t>
  </si>
  <si>
    <t>SL</t>
  </si>
  <si>
    <t>Inhibits</t>
  </si>
  <si>
    <t>Mean Time Between Faults</t>
  </si>
  <si>
    <t xml:space="preserve">     </t>
  </si>
  <si>
    <t>&lt;-- This downtime includes Gaps Open</t>
  </si>
  <si>
    <t>Inhibits Beam</t>
  </si>
  <si>
    <t>TOTAL</t>
  </si>
  <si>
    <t>Intention. Dump</t>
  </si>
  <si>
    <t>User Beam days</t>
  </si>
  <si>
    <t>PS</t>
  </si>
  <si>
    <t>Group</t>
  </si>
  <si>
    <t>RF</t>
  </si>
  <si>
    <t>Other</t>
  </si>
  <si>
    <t>Grand Total</t>
  </si>
  <si>
    <t>Data</t>
  </si>
  <si>
    <t>Sum of Intention. Dump</t>
  </si>
  <si>
    <t>Sum of Inhibits Beam</t>
  </si>
  <si>
    <t>Sum of Store Lost</t>
  </si>
  <si>
    <t>Sum of System
Length</t>
  </si>
  <si>
    <t>Diag</t>
  </si>
  <si>
    <t>Controls</t>
  </si>
  <si>
    <t>Accelerator Intlks</t>
  </si>
  <si>
    <t>Beamline Intlks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</si>
  <si>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</si>
  <si>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</si>
  <si>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</si>
  <si>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</si>
  <si>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</si>
  <si>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</si>
  <si>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</si>
  <si>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</si>
  <si>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Unidentified</t>
  </si>
  <si>
    <t>Total Hours</t>
  </si>
  <si>
    <t>Budget</t>
  </si>
  <si>
    <t>Hours for Run</t>
  </si>
  <si>
    <t xml:space="preserve">Faults </t>
  </si>
  <si>
    <t>MOM</t>
  </si>
  <si>
    <t>Network</t>
  </si>
  <si>
    <t>OA</t>
  </si>
  <si>
    <t>Downtime for Run 2008-1</t>
  </si>
  <si>
    <t>Run 2008-1</t>
  </si>
  <si>
    <t xml:space="preserve">  Int Dump: End of Period</t>
  </si>
  <si>
    <t xml:space="preserve">  S21C:BM P.S. trip   [PS]</t>
  </si>
  <si>
    <t>Fell below 50mA during B:ES2:PS repair, refilled</t>
  </si>
  <si>
    <t>Inhibits Beam to User</t>
  </si>
  <si>
    <t>Booster ES PS [PS]</t>
  </si>
  <si>
    <t>SI</t>
  </si>
  <si>
    <t>21ID FEEPS H20 Flts [SI]</t>
  </si>
  <si>
    <t>S7A:Q5:PS trip     [PS]</t>
  </si>
  <si>
    <t xml:space="preserve">Swapped converter, PS group investigation </t>
  </si>
  <si>
    <t xml:space="preserve">  S40 Vacuum trip     [RF]</t>
  </si>
  <si>
    <t xml:space="preserve">  S40 RF Cav. Vacuum  [RF]</t>
  </si>
  <si>
    <t xml:space="preserve">  Raw P.S. glitch     [PS]</t>
  </si>
  <si>
    <t xml:space="preserve">  RF Cav. Vacuum Trip [RF]</t>
  </si>
  <si>
    <t>DIA</t>
  </si>
  <si>
    <t xml:space="preserve">  Human Error       [DIAG]</t>
  </si>
  <si>
    <t>Replaced PS after trip</t>
  </si>
  <si>
    <t>CTL</t>
  </si>
  <si>
    <t xml:space="preserve">  S40 RF Cav. Vacuum [RF]</t>
  </si>
  <si>
    <t xml:space="preserve">  P0 timing error    [CTL]</t>
  </si>
  <si>
    <t>RF Coupler repair &amp; condition [RF</t>
  </si>
  <si>
    <t>End of Scheduled time</t>
  </si>
  <si>
    <t>Supplemental time</t>
  </si>
  <si>
    <t>RF4 Mod Anode Problem [RF]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</si>
</sst>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0_);[Red]\(0.00\)"/>
    <numFmt numFmtId="166" formatCode="0.0"/>
    <numFmt numFmtId="167" formatCode="0.0%"/>
    <numFmt numFmtId="168" formatCode="0.000000000"/>
    <numFmt numFmtId="169" formatCode="0.0000000000"/>
    <numFmt numFmtId="170" formatCode="0.00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mm/dd/yy\ hh:mm"/>
    <numFmt numFmtId="178" formatCode="0.000000000000000%"/>
    <numFmt numFmtId="179" formatCode="0.0000000000000"/>
    <numFmt numFmtId="180" formatCode="0.000%"/>
    <numFmt numFmtId="181" formatCode="0.000_);[Red]\(0.000\)"/>
    <numFmt numFmtId="182" formatCode="0.0000_);[Red]\(0.0000\)"/>
    <numFmt numFmtId="183" formatCode="0.00000_);[Red]\(0.00000\)"/>
    <numFmt numFmtId="184" formatCode="0.000000_);[Red]\(0.000000\)"/>
    <numFmt numFmtId="185" formatCode="0.0_);[Red]\(0.0\)"/>
    <numFmt numFmtId="186" formatCode="0_);[Red]\(0\)"/>
    <numFmt numFmtId="187" formatCode="#,##0.0_);\(#,##0.0\)"/>
    <numFmt numFmtId="188" formatCode="0.000000000000"/>
    <numFmt numFmtId="189" formatCode="0.00;[Red]0.00;[Blue]&quot;ZERO!!!&quot;"/>
    <numFmt numFmtId="190" formatCode="0.000000000000000"/>
    <numFmt numFmtId="191" formatCode="0.00000000000000"/>
    <numFmt numFmtId="192" formatCode="0.0000000000000000"/>
    <numFmt numFmtId="193" formatCode="0.00000000000000000"/>
    <numFmt numFmtId="194" formatCode="0.00000000000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mmm\-yyyy"/>
    <numFmt numFmtId="199" formatCode="[$€-2]\ #,##0.00_);[Red]\([$€-2]\ #,##0.00\)"/>
    <numFmt numFmtId="200" formatCode="m/d/yy\ h:mm;@"/>
    <numFmt numFmtId="201" formatCode="[$-409]dddd\,\ mmmm\ dd\,\ yyyy"/>
  </numFmts>
  <fonts count="19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27"/>
      <name val="Arial"/>
      <family val="0"/>
    </font>
    <font>
      <b/>
      <sz val="12"/>
      <name val="Arial"/>
      <family val="2"/>
    </font>
    <font>
      <b/>
      <sz val="17.25"/>
      <name val="Arial"/>
      <family val="2"/>
    </font>
    <font>
      <sz val="19.75"/>
      <name val="Arial"/>
      <family val="2"/>
    </font>
    <font>
      <sz val="31.25"/>
      <name val="Arial"/>
      <family val="0"/>
    </font>
    <font>
      <sz val="35.25"/>
      <name val="Arial"/>
      <family val="0"/>
    </font>
    <font>
      <sz val="12"/>
      <name val="Arial"/>
      <family val="2"/>
    </font>
    <font>
      <sz val="19.5"/>
      <name val="Arial"/>
      <family val="2"/>
    </font>
    <font>
      <b/>
      <sz val="39.25"/>
      <name val="Arial"/>
      <family val="0"/>
    </font>
    <font>
      <b/>
      <sz val="35.25"/>
      <name val="Arial"/>
      <family val="0"/>
    </font>
    <font>
      <b/>
      <sz val="15.75"/>
      <name val="Arial"/>
      <family val="2"/>
    </font>
    <font>
      <sz val="17.2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3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wrapText="1"/>
    </xf>
    <xf numFmtId="177" fontId="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4" fontId="3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" fontId="1" fillId="0" borderId="3" xfId="0" applyNumberFormat="1" applyFont="1" applyFill="1" applyBorder="1" applyAlignment="1">
      <alignment horizontal="center" textRotation="90"/>
    </xf>
    <xf numFmtId="2" fontId="0" fillId="0" borderId="4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17" applyNumberFormat="1" applyFont="1" applyFill="1" applyBorder="1" applyAlignment="1">
      <alignment horizontal="right"/>
    </xf>
    <xf numFmtId="189" fontId="1" fillId="0" borderId="3" xfId="0" applyNumberFormat="1" applyFont="1" applyFill="1" applyBorder="1" applyAlignment="1">
      <alignment horizontal="center" textRotation="9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right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Alignment="1">
      <alignment horizontal="right"/>
    </xf>
    <xf numFmtId="189" fontId="1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189" fontId="1" fillId="0" borderId="0" xfId="0" applyNumberFormat="1" applyFont="1" applyAlignment="1">
      <alignment/>
    </xf>
    <xf numFmtId="167" fontId="0" fillId="0" borderId="0" xfId="21" applyNumberFormat="1" applyFont="1" applyFill="1" applyAlignment="1">
      <alignment horizontal="right"/>
    </xf>
    <xf numFmtId="0" fontId="1" fillId="0" borderId="3" xfId="0" applyNumberFormat="1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177" fontId="1" fillId="0" borderId="3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0" fontId="1" fillId="0" borderId="3" xfId="0" applyFont="1" applyFill="1" applyBorder="1" applyAlignment="1">
      <alignment textRotation="90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17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/>
    </xf>
    <xf numFmtId="0" fontId="1" fillId="0" borderId="5" xfId="0" applyFont="1" applyFill="1" applyBorder="1" applyAlignment="1">
      <alignment horizontal="center" textRotation="90"/>
    </xf>
    <xf numFmtId="189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/>
    </xf>
    <xf numFmtId="0" fontId="0" fillId="2" borderId="3" xfId="0" applyNumberFormat="1" applyFont="1" applyFill="1" applyBorder="1" applyAlignment="1">
      <alignment horizontal="right"/>
    </xf>
    <xf numFmtId="177" fontId="0" fillId="2" borderId="3" xfId="0" applyNumberFormat="1" applyFont="1" applyFill="1" applyBorder="1" applyAlignment="1">
      <alignment horizontal="left"/>
    </xf>
    <xf numFmtId="2" fontId="1" fillId="2" borderId="3" xfId="0" applyNumberFormat="1" applyFont="1" applyFill="1" applyBorder="1" applyAlignment="1">
      <alignment horizontal="right"/>
    </xf>
    <xf numFmtId="177" fontId="0" fillId="2" borderId="3" xfId="0" applyNumberFormat="1" applyFont="1" applyFill="1" applyBorder="1" applyAlignment="1">
      <alignment/>
    </xf>
    <xf numFmtId="0" fontId="0" fillId="2" borderId="3" xfId="0" applyNumberFormat="1" applyFont="1" applyFill="1" applyBorder="1" applyAlignment="1">
      <alignment horizontal="center"/>
    </xf>
    <xf numFmtId="177" fontId="0" fillId="2" borderId="3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 applyProtection="1">
      <alignment/>
      <protection/>
    </xf>
    <xf numFmtId="0" fontId="0" fillId="2" borderId="3" xfId="0" applyNumberFormat="1" applyFont="1" applyFill="1" applyBorder="1" applyAlignment="1" applyProtection="1">
      <alignment/>
      <protection locked="0"/>
    </xf>
    <xf numFmtId="0" fontId="0" fillId="2" borderId="3" xfId="0" applyNumberFormat="1" applyFont="1" applyFill="1" applyBorder="1" applyAlignment="1" applyProtection="1">
      <alignment horizontal="left"/>
      <protection/>
    </xf>
    <xf numFmtId="2" fontId="0" fillId="0" borderId="3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 horizontal="right"/>
    </xf>
    <xf numFmtId="17" fontId="3" fillId="0" borderId="0" xfId="0" applyNumberFormat="1" applyFont="1" applyFill="1" applyAlignment="1">
      <alignment/>
    </xf>
    <xf numFmtId="17" fontId="0" fillId="0" borderId="0" xfId="0" applyNumberFormat="1" applyFont="1" applyFill="1" applyBorder="1" applyAlignment="1">
      <alignment horizontal="center"/>
    </xf>
    <xf numFmtId="17" fontId="0" fillId="0" borderId="0" xfId="0" applyNumberFormat="1" applyFont="1" applyFill="1" applyAlignment="1">
      <alignment horizontal="center"/>
    </xf>
    <xf numFmtId="2" fontId="0" fillId="4" borderId="3" xfId="0" applyNumberFormat="1" applyFont="1" applyFill="1" applyBorder="1" applyAlignment="1">
      <alignment horizontal="right"/>
    </xf>
    <xf numFmtId="0" fontId="0" fillId="4" borderId="3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NumberFormat="1" applyFont="1" applyFill="1" applyBorder="1" applyAlignment="1">
      <alignment/>
    </xf>
    <xf numFmtId="177" fontId="0" fillId="4" borderId="3" xfId="0" applyNumberFormat="1" applyFont="1" applyFill="1" applyBorder="1" applyAlignment="1">
      <alignment horizontal="left"/>
    </xf>
    <xf numFmtId="177" fontId="0" fillId="4" borderId="3" xfId="0" applyNumberFormat="1" applyFont="1" applyFill="1" applyBorder="1" applyAlignment="1">
      <alignment/>
    </xf>
    <xf numFmtId="0" fontId="0" fillId="4" borderId="3" xfId="0" applyNumberFormat="1" applyFont="1" applyFill="1" applyBorder="1" applyAlignment="1">
      <alignment horizontal="center"/>
    </xf>
    <xf numFmtId="177" fontId="0" fillId="4" borderId="3" xfId="0" applyNumberFormat="1" applyFont="1" applyFill="1" applyBorder="1" applyAlignment="1">
      <alignment horizontal="center"/>
    </xf>
    <xf numFmtId="0" fontId="0" fillId="4" borderId="3" xfId="0" applyNumberFormat="1" applyFont="1" applyFill="1" applyBorder="1" applyAlignment="1" applyProtection="1">
      <alignment/>
      <protection/>
    </xf>
    <xf numFmtId="0" fontId="0" fillId="4" borderId="3" xfId="0" applyNumberFormat="1" applyFont="1" applyFill="1" applyBorder="1" applyAlignment="1" applyProtection="1">
      <alignment horizontal="left"/>
      <protection/>
    </xf>
    <xf numFmtId="0" fontId="0" fillId="4" borderId="3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 locked="0"/>
    </xf>
    <xf numFmtId="167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167" fontId="0" fillId="0" borderId="0" xfId="21" applyNumberFormat="1" applyFont="1" applyAlignment="1" applyProtection="1">
      <alignment vertical="top" wrapText="1"/>
      <protection locked="0"/>
    </xf>
    <xf numFmtId="2" fontId="0" fillId="0" borderId="0" xfId="21" applyNumberFormat="1" applyAlignment="1" applyProtection="1">
      <alignment/>
      <protection locked="0"/>
    </xf>
    <xf numFmtId="166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177" fontId="6" fillId="0" borderId="0" xfId="0" applyNumberFormat="1" applyFont="1" applyFill="1" applyAlignment="1">
      <alignment horizontal="right"/>
    </xf>
    <xf numFmtId="177" fontId="0" fillId="0" borderId="3" xfId="0" applyNumberFormat="1" applyFont="1" applyFill="1" applyBorder="1" applyAlignment="1">
      <alignment horizontal="left"/>
    </xf>
    <xf numFmtId="2" fontId="0" fillId="0" borderId="0" xfId="0" applyNumberFormat="1" applyBorder="1" applyAlignment="1" applyProtection="1">
      <alignment/>
      <protection locked="0"/>
    </xf>
    <xf numFmtId="0" fontId="0" fillId="0" borderId="3" xfId="0" applyNumberFormat="1" applyFont="1" applyFill="1" applyBorder="1" applyAlignment="1">
      <alignment horizontal="right"/>
    </xf>
    <xf numFmtId="177" fontId="0" fillId="0" borderId="3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 horizontal="center"/>
    </xf>
    <xf numFmtId="177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8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177" fontId="0" fillId="5" borderId="3" xfId="0" applyNumberFormat="1" applyFont="1" applyFill="1" applyBorder="1" applyAlignment="1">
      <alignment/>
    </xf>
    <xf numFmtId="177" fontId="0" fillId="5" borderId="3" xfId="0" applyNumberFormat="1" applyFont="1" applyFill="1" applyBorder="1" applyAlignment="1">
      <alignment horizontal="left"/>
    </xf>
    <xf numFmtId="2" fontId="0" fillId="5" borderId="3" xfId="0" applyNumberFormat="1" applyFont="1" applyFill="1" applyBorder="1" applyAlignment="1">
      <alignment horizontal="right"/>
    </xf>
    <xf numFmtId="0" fontId="0" fillId="5" borderId="3" xfId="0" applyNumberFormat="1" applyFont="1" applyFill="1" applyBorder="1" applyAlignment="1" applyProtection="1">
      <alignment/>
      <protection/>
    </xf>
    <xf numFmtId="0" fontId="0" fillId="5" borderId="3" xfId="0" applyNumberFormat="1" applyFont="1" applyFill="1" applyBorder="1" applyAlignment="1" applyProtection="1">
      <alignment horizontal="left"/>
      <protection/>
    </xf>
    <xf numFmtId="177" fontId="0" fillId="6" borderId="3" xfId="0" applyNumberFormat="1" applyFont="1" applyFill="1" applyBorder="1" applyAlignment="1">
      <alignment/>
    </xf>
    <xf numFmtId="177" fontId="0" fillId="6" borderId="3" xfId="0" applyNumberFormat="1" applyFont="1" applyFill="1" applyBorder="1" applyAlignment="1">
      <alignment horizontal="left"/>
    </xf>
    <xf numFmtId="2" fontId="0" fillId="6" borderId="3" xfId="0" applyNumberFormat="1" applyFont="1" applyFill="1" applyBorder="1" applyAlignment="1">
      <alignment horizontal="right"/>
    </xf>
    <xf numFmtId="0" fontId="0" fillId="6" borderId="3" xfId="0" applyNumberFormat="1" applyFont="1" applyFill="1" applyBorder="1" applyAlignment="1" applyProtection="1">
      <alignment/>
      <protection/>
    </xf>
    <xf numFmtId="0" fontId="0" fillId="6" borderId="3" xfId="0" applyNumberFormat="1" applyFont="1" applyFill="1" applyBorder="1" applyAlignment="1" applyProtection="1">
      <alignment horizontal="left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2" fontId="0" fillId="0" borderId="17" xfId="0" applyNumberFormat="1" applyBorder="1" applyAlignment="1">
      <alignment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7" borderId="3" xfId="0" applyNumberFormat="1" applyFont="1" applyFill="1" applyBorder="1" applyAlignment="1">
      <alignment horizontal="right"/>
    </xf>
    <xf numFmtId="177" fontId="0" fillId="7" borderId="3" xfId="0" applyNumberFormat="1" applyFont="1" applyFill="1" applyBorder="1" applyAlignment="1">
      <alignment horizontal="left"/>
    </xf>
    <xf numFmtId="2" fontId="0" fillId="7" borderId="3" xfId="0" applyNumberFormat="1" applyFont="1" applyFill="1" applyBorder="1" applyAlignment="1">
      <alignment horizontal="right"/>
    </xf>
    <xf numFmtId="177" fontId="0" fillId="7" borderId="3" xfId="0" applyNumberFormat="1" applyFont="1" applyFill="1" applyBorder="1" applyAlignment="1">
      <alignment/>
    </xf>
    <xf numFmtId="0" fontId="0" fillId="7" borderId="3" xfId="0" applyNumberFormat="1" applyFont="1" applyFill="1" applyBorder="1" applyAlignment="1">
      <alignment horizontal="center"/>
    </xf>
    <xf numFmtId="177" fontId="0" fillId="7" borderId="3" xfId="0" applyNumberFormat="1" applyFont="1" applyFill="1" applyBorder="1" applyAlignment="1">
      <alignment horizontal="center"/>
    </xf>
    <xf numFmtId="0" fontId="0" fillId="7" borderId="3" xfId="0" applyNumberFormat="1" applyFont="1" applyFill="1" applyBorder="1" applyAlignment="1" applyProtection="1">
      <alignment/>
      <protection/>
    </xf>
    <xf numFmtId="0" fontId="0" fillId="7" borderId="3" xfId="0" applyNumberFormat="1" applyFont="1" applyFill="1" applyBorder="1" applyAlignment="1" applyProtection="1">
      <alignment horizontal="left"/>
      <protection/>
    </xf>
    <xf numFmtId="176" fontId="0" fillId="0" borderId="0" xfId="0" applyNumberFormat="1" applyBorder="1" applyAlignment="1" applyProtection="1">
      <alignment/>
      <protection locked="0"/>
    </xf>
    <xf numFmtId="0" fontId="2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numFmt numFmtId="2" formatCode="0.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Run 2008-1 Downtime by System 
January 29 - April 24, 2008
 Scheduled User Time =  1727 hours                                  
User downtime=  55.03 hours</a:t>
            </a:r>
          </a:p>
        </c:rich>
      </c:tx>
      <c:layout>
        <c:manualLayout>
          <c:xMode val="factor"/>
          <c:yMode val="factor"/>
          <c:x val="0.02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885"/>
          <c:w val="0.86425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Stats!$A$15</c:f>
              <c:strCache>
                <c:ptCount val="1"/>
                <c:pt idx="0">
                  <c:v>Run 2008-1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Stats!$B$15:$R$15</c:f>
              <c:numCache>
                <c:ptCount val="17"/>
                <c:pt idx="0">
                  <c:v>0.0250627292028521</c:v>
                </c:pt>
                <c:pt idx="1">
                  <c:v>0.0002895193977322436</c:v>
                </c:pt>
                <c:pt idx="2">
                  <c:v>0.005819339895833685</c:v>
                </c:pt>
                <c:pt idx="3">
                  <c:v>0.00019301293188890472</c:v>
                </c:pt>
                <c:pt idx="4">
                  <c:v>0</c:v>
                </c:pt>
                <c:pt idx="5">
                  <c:v>0.0002895193977322436</c:v>
                </c:pt>
                <c:pt idx="6">
                  <c:v>0</c:v>
                </c:pt>
                <c:pt idx="7">
                  <c:v>0</c:v>
                </c:pt>
                <c:pt idx="8">
                  <c:v>0.0002123142250373498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Stats!$A$16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Stats!$B$16:$R$16</c:f>
              <c:numCache>
                <c:ptCount val="17"/>
                <c:pt idx="0">
                  <c:v>0.005399999999999999</c:v>
                </c:pt>
                <c:pt idx="1">
                  <c:v>0.0012</c:v>
                </c:pt>
                <c:pt idx="2">
                  <c:v>0.005399999999999999</c:v>
                </c:pt>
                <c:pt idx="3">
                  <c:v>0.003</c:v>
                </c:pt>
                <c:pt idx="4">
                  <c:v>0.0006</c:v>
                </c:pt>
                <c:pt idx="5">
                  <c:v>0.0006</c:v>
                </c:pt>
                <c:pt idx="6">
                  <c:v>0.0006</c:v>
                </c:pt>
                <c:pt idx="7">
                  <c:v>0.0036</c:v>
                </c:pt>
                <c:pt idx="8">
                  <c:v>0.0012</c:v>
                </c:pt>
                <c:pt idx="9">
                  <c:v>0</c:v>
                </c:pt>
                <c:pt idx="10">
                  <c:v>0.0006</c:v>
                </c:pt>
                <c:pt idx="11">
                  <c:v>0.0006</c:v>
                </c:pt>
                <c:pt idx="12">
                  <c:v>0.0018</c:v>
                </c:pt>
                <c:pt idx="13">
                  <c:v>0.0006</c:v>
                </c:pt>
                <c:pt idx="14">
                  <c:v>0.0018</c:v>
                </c:pt>
                <c:pt idx="15">
                  <c:v>0.0012</c:v>
                </c:pt>
                <c:pt idx="16">
                  <c:v>0.0006</c:v>
                </c:pt>
              </c:numCache>
            </c:numRef>
          </c:val>
        </c:ser>
        <c:axId val="57102198"/>
        <c:axId val="44157735"/>
      </c:barChart>
      <c:catAx>
        <c:axId val="5710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157735"/>
        <c:crosses val="autoZero"/>
        <c:auto val="1"/>
        <c:lblOffset val="80"/>
        <c:noMultiLvlLbl val="0"/>
      </c:catAx>
      <c:valAx>
        <c:axId val="44157735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3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75" b="0" i="0" u="none" baseline="0">
                <a:latin typeface="Arial"/>
                <a:ea typeface="Arial"/>
                <a:cs typeface="Arial"/>
              </a:defRPr>
            </a:pPr>
          </a:p>
        </c:txPr>
        <c:crossAx val="57102198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3366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6"/>
          <c:y val="0.14625"/>
          <c:w val="0.12925"/>
          <c:h val="0.046"/>
        </c:manualLayout>
      </c:layout>
      <c:overlay val="0"/>
      <c:txPr>
        <a:bodyPr vert="horz" rot="0"/>
        <a:lstStyle/>
        <a:p>
          <a:pPr>
            <a:defRPr lang="en-US" cap="none" sz="1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925" b="1" i="0" u="none" baseline="0">
                <a:latin typeface="Arial"/>
                <a:ea typeface="Arial"/>
                <a:cs typeface="Arial"/>
              </a:rPr>
              <a:t>Run 2008-1 Faults Per Day By System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083"/>
          <c:w val="0.8307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Stats!$A$22</c:f>
              <c:strCache>
                <c:ptCount val="1"/>
                <c:pt idx="0">
                  <c:v>Run 2008-1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Stats!$B$21:$R$21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Stats!$B$22:$R$22</c:f>
              <c:numCache>
                <c:ptCount val="17"/>
                <c:pt idx="0">
                  <c:v>0.0861261189417588</c:v>
                </c:pt>
                <c:pt idx="1">
                  <c:v>0.0143543531569598</c:v>
                </c:pt>
                <c:pt idx="2">
                  <c:v>0.0574174126278392</c:v>
                </c:pt>
                <c:pt idx="3">
                  <c:v>0.0143543531569598</c:v>
                </c:pt>
                <c:pt idx="4">
                  <c:v>0</c:v>
                </c:pt>
                <c:pt idx="5">
                  <c:v>0.0143543531569598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Stats!$A$23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Stats!$B$21:$R$21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Stats!$B$23:$R$23</c:f>
              <c:numCache>
                <c:ptCount val="17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0.01</c:v>
                </c:pt>
                <c:pt idx="5">
                  <c:v>0.01</c:v>
                </c:pt>
                <c:pt idx="6">
                  <c:v>0.02</c:v>
                </c:pt>
                <c:pt idx="7">
                  <c:v>0.06</c:v>
                </c:pt>
                <c:pt idx="8">
                  <c:v>0.02</c:v>
                </c:pt>
                <c:pt idx="9">
                  <c:v>0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0.02</c:v>
                </c:pt>
                <c:pt idx="15">
                  <c:v>0.01</c:v>
                </c:pt>
                <c:pt idx="16">
                  <c:v>0.02</c:v>
                </c:pt>
              </c:numCache>
            </c:numRef>
          </c:val>
        </c:ser>
        <c:axId val="61875296"/>
        <c:axId val="20006753"/>
      </c:barChart>
      <c:catAx>
        <c:axId val="61875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20006753"/>
        <c:crosses val="autoZero"/>
        <c:auto val="1"/>
        <c:lblOffset val="100"/>
        <c:noMultiLvlLbl val="0"/>
      </c:catAx>
      <c:valAx>
        <c:axId val="20006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25" b="1" i="0" u="none" baseline="0"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61875296"/>
        <c:crossesAt val="1"/>
        <c:crossBetween val="between"/>
        <c:dispUnits/>
      </c:valAx>
      <c:spPr>
        <a:gradFill rotWithShape="1">
          <a:gsLst>
            <a:gs pos="0">
              <a:srgbClr val="339966"/>
            </a:gs>
            <a:gs pos="100000">
              <a:srgbClr val="A5D2B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24025"/>
          <c:w val="0.0885"/>
          <c:h val="0.042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93</xdr:row>
      <xdr:rowOff>114300</xdr:rowOff>
    </xdr:from>
    <xdr:ext cx="85725" cy="171450"/>
    <xdr:sp>
      <xdr:nvSpPr>
        <xdr:cNvPr id="1" name="TextBox 1"/>
        <xdr:cNvSpPr txBox="1">
          <a:spLocks noChangeArrowheads="1"/>
        </xdr:cNvSpPr>
      </xdr:nvSpPr>
      <xdr:spPr>
        <a:xfrm>
          <a:off x="8686800" y="16354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123825</xdr:rowOff>
    </xdr:from>
    <xdr:ext cx="85725" cy="180975"/>
    <xdr:sp>
      <xdr:nvSpPr>
        <xdr:cNvPr id="2" name="TextBox 15"/>
        <xdr:cNvSpPr txBox="1">
          <a:spLocks noChangeArrowheads="1"/>
        </xdr:cNvSpPr>
      </xdr:nvSpPr>
      <xdr:spPr>
        <a:xfrm>
          <a:off x="8686800" y="90868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0.00025</cdr:x>
      <cdr:y>0.04225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590550</xdr:colOff>
      <xdr:row>65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12172950" cy="1064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23</xdr:col>
      <xdr:colOff>0</xdr:colOff>
      <xdr:row>66</xdr:row>
      <xdr:rowOff>47625</xdr:rowOff>
    </xdr:to>
    <xdr:graphicFrame>
      <xdr:nvGraphicFramePr>
        <xdr:cNvPr id="1" name="Chart 1"/>
        <xdr:cNvGraphicFramePr/>
      </xdr:nvGraphicFramePr>
      <xdr:xfrm>
        <a:off x="0" y="19050"/>
        <a:ext cx="14020800" cy="1071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7\2007Fy\reliability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StatisticsbyWeek"/>
      <sheetName val="reliabilitySummary"/>
      <sheetName val="Stats"/>
      <sheetName val="Stats (2)"/>
      <sheetName val="Downtime chart"/>
      <sheetName val="Lost Stores FY chart"/>
      <sheetName val="summary"/>
    </sheetNames>
    <sheetDataSet>
      <sheetData sheetId="1">
        <row r="7">
          <cell r="B7">
            <v>0.005399999999999999</v>
          </cell>
          <cell r="F7">
            <v>0.12</v>
          </cell>
        </row>
        <row r="8">
          <cell r="B8">
            <v>0.0012</v>
          </cell>
          <cell r="F8">
            <v>0.03</v>
          </cell>
        </row>
        <row r="9">
          <cell r="B9">
            <v>0.005399999999999999</v>
          </cell>
          <cell r="F9">
            <v>0.12</v>
          </cell>
        </row>
        <row r="10">
          <cell r="B10">
            <v>0.003</v>
          </cell>
        </row>
        <row r="11">
          <cell r="B11">
            <v>0.0012</v>
          </cell>
        </row>
        <row r="13">
          <cell r="B13">
            <v>0.0006</v>
          </cell>
        </row>
        <row r="14">
          <cell r="B14">
            <v>0.0006</v>
          </cell>
        </row>
        <row r="15">
          <cell r="B15">
            <v>0.0006</v>
          </cell>
        </row>
        <row r="16">
          <cell r="B16">
            <v>0.0036</v>
          </cell>
        </row>
        <row r="18">
          <cell r="B18">
            <v>0.0012</v>
          </cell>
        </row>
        <row r="19">
          <cell r="B19">
            <v>0</v>
          </cell>
        </row>
        <row r="20">
          <cell r="B20">
            <v>0.0006</v>
          </cell>
        </row>
        <row r="24">
          <cell r="B24">
            <v>0.0006</v>
          </cell>
        </row>
        <row r="25">
          <cell r="B25">
            <v>0.0018</v>
          </cell>
        </row>
        <row r="26">
          <cell r="B26">
            <v>0.0006</v>
          </cell>
        </row>
        <row r="27">
          <cell r="B27">
            <v>0.0018</v>
          </cell>
        </row>
        <row r="28">
          <cell r="B28">
            <v>0.0006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5:T48" sheet="Main Data"/>
  </cacheSource>
  <cacheFields count="20">
    <cacheField name="Fill #">
      <sharedItems containsString="0" containsBlank="1" containsMixedTypes="0" containsNumber="1" containsInteger="1" count="25">
        <n v="1"/>
        <m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</sharedItems>
    </cacheField>
    <cacheField name="Start">
      <sharedItems containsDate="1" containsString="0" containsBlank="1" containsMixedTypes="0" count="27">
        <d v="2008-01-29T08:00:00.000"/>
        <m/>
        <d v="2008-02-03T08:25:00.000"/>
        <d v="2008-02-06T08:00:00.000"/>
        <d v="2008-02-09T12:16:00.000"/>
        <d v="2008-02-13T08:00:00.000"/>
        <d v="2008-02-17T03:28:00.000"/>
        <d v="2008-02-17T11:00:00.000"/>
        <d v="2008-02-20T08:00:00.000"/>
        <d v="2008-02-24T04:39:00.000"/>
        <d v="2008-02-26T03:16:00.000"/>
        <d v="2008-02-27T08:00:00.000"/>
        <d v="2008-02-28T15:59:00.000"/>
        <d v="2008-03-05T08:00:00.000"/>
        <d v="2008-03-12T08:00:00.000"/>
        <d v="2008-03-13T04:28:00.000"/>
        <d v="2008-03-19T08:00:00.000"/>
        <d v="2008-03-19T15:44:00.000"/>
        <d v="2008-03-28T00:00:00.000"/>
        <d v="2008-03-28T08:10:00.000"/>
        <d v="2008-03-28T14:10:00.000"/>
        <d v="2008-04-01T08:00:00.000"/>
        <d v="2008-04-02T08:00:00.000"/>
        <d v="2008-04-07T16:17:00.000"/>
        <d v="2008-04-09T08:00:00.000"/>
        <d v="2008-04-16T08:00:00.000"/>
        <d v="2008-04-21T08:59:00.000"/>
      </sharedItems>
    </cacheField>
    <cacheField name="End">
      <sharedItems containsDate="1" containsString="0" containsBlank="1" containsMixedTypes="0" count="27">
        <d v="2008-02-03T07:37:00.000"/>
        <m/>
        <d v="2008-02-05T08:00:00.000"/>
        <d v="2008-02-09T07:53:00.000"/>
        <d v="2008-02-11T08:00:00.000"/>
        <d v="2008-02-17T02:58:00.000"/>
        <d v="2008-02-17T07:20:00.000"/>
        <d v="2008-02-19T08:00:00.000"/>
        <d v="2008-02-24T04:12:00.000"/>
        <d v="2008-02-26T02:53:00.000"/>
        <d v="2008-02-26T08:00:00.000"/>
        <d v="2008-02-28T14:44:00.000"/>
        <d v="2008-03-04T08:00:00.000"/>
        <d v="2008-03-10T08:00:00.000"/>
        <d v="2008-03-13T03:59:00.000"/>
        <d v="2008-03-18T08:00:00.000"/>
        <d v="2008-03-19T14:55:00.000"/>
        <d v="2008-03-24T08:00:00.000"/>
        <d v="2008-03-28T07:42:00.000"/>
        <d v="2008-03-28T13:50:00.000"/>
        <d v="2008-04-01T08:00:00.000"/>
        <d v="2008-04-02T08:00:00.000"/>
        <d v="2008-04-07T15:54:00.000"/>
        <d v="2008-04-08T08:00:00.000"/>
        <d v="2008-04-15T08:00:00.000"/>
        <d v="2008-04-21T07:52:00.000"/>
        <d v="2008-04-24T08:00:00.000"/>
      </sharedItems>
    </cacheField>
    <cacheField name="Length">
      <sharedItems containsMixedTypes="1" containsNumber="1"/>
    </cacheField>
    <cacheField name="Loss &#10;Reason">
      <sharedItems containsBlank="1" containsMixedTypes="0" count="17">
        <s v="  S21C:BM P.S. trip   [PS]"/>
        <m/>
        <s v="  Int Dump: End of Period"/>
        <s v="Booster ES PS [PS]"/>
        <s v="21ID FEEPS H20 Flts [SI]"/>
        <s v="S7A:Q5:PS trip     [PS]"/>
        <s v="  S40 Vacuum trip     [RF]"/>
        <s v="  S40 RF Cav. Vacuum  [RF]"/>
        <s v="  Raw P.S. glitch     [PS]"/>
        <s v="  RF Cav. Vacuum Trip [RF]"/>
        <s v="  Human Error       [DIAG]"/>
        <s v="RF Coupler repair &amp; condition [RF"/>
        <s v="  S40 RF Cav. Vacuum [RF]"/>
        <s v="  P0 timing error    [CTL]"/>
        <s v="End of Scheduled time"/>
        <s v="Supplemental time"/>
        <s v="RF4 Mod Anode Problem [RF]"/>
      </sharedItems>
    </cacheField>
    <cacheField name="DIN #">
      <sharedItems containsString="0" containsBlank="1" containsMixedTypes="0" containsNumber="1" containsInteger="1" count="14">
        <n v="105353"/>
        <m/>
        <n v="105360"/>
        <n v="105362"/>
        <n v="105363"/>
        <n v="105367"/>
        <n v="105368"/>
        <n v="105370"/>
        <n v="105374"/>
        <n v="105375"/>
        <n v="105378"/>
        <n v="105380"/>
        <n v="105381"/>
        <n v="105383"/>
      </sharedItems>
    </cacheField>
    <cacheField name="Audit">
      <sharedItems containsString="0" containsBlank="1" count="1">
        <m/>
      </sharedItems>
    </cacheField>
    <cacheField name="Start2">
      <sharedItems containsDate="1" containsString="0" containsBlank="1" containsMixedTypes="0" count="17">
        <d v="2008-02-03T07:37:00.000"/>
        <d v="2008-02-03T08:03:00.000"/>
        <m/>
        <d v="2008-02-09T07:53:00.000"/>
        <d v="2008-02-17T02:58:00.000"/>
        <d v="2008-02-17T07:20:00.000"/>
        <d v="2008-02-24T04:12:00.000"/>
        <d v="2008-02-26T02:53:00.000"/>
        <d v="2008-02-28T14:44:00.000"/>
        <d v="2008-03-13T03:59:00.000"/>
        <d v="2008-03-19T14:55:00.000"/>
        <d v="2008-03-19T15:25:00.000"/>
        <d v="2008-03-26T08:00:00.000"/>
        <d v="2008-03-28T07:42:00.000"/>
        <d v="2008-03-28T13:50:00.000"/>
        <d v="2008-04-07T15:54:00.000"/>
        <d v="2008-04-21T07:52:00.000"/>
      </sharedItems>
    </cacheField>
    <cacheField name="End2">
      <sharedItems containsDate="1" containsString="0" containsBlank="1" containsMixedTypes="0" count="17">
        <d v="2008-02-03T08:25:00.000"/>
        <d v="2008-02-03T08:03:00.000"/>
        <m/>
        <d v="2008-02-09T12:16:00.000"/>
        <d v="2008-02-17T03:28:00.000"/>
        <d v="2008-02-17T11:00:00.000"/>
        <d v="2008-02-24T04:39:00.000"/>
        <d v="2008-02-26T03:16:00.000"/>
        <d v="2008-02-28T15:59:00.000"/>
        <d v="2008-03-13T04:28:00.000"/>
        <d v="2008-03-19T15:44:00.000"/>
        <d v="2008-03-19T15:25:00.000"/>
        <d v="2008-03-28T00:00:00.000"/>
        <d v="2008-03-28T08:10:00.000"/>
        <d v="2008-03-28T14:10:00.000"/>
        <d v="2008-04-07T16:17:00.000"/>
        <d v="2008-04-21T08:59:00.000"/>
      </sharedItems>
    </cacheField>
    <cacheField name="User &#10;Length">
      <sharedItems containsString="0" containsBlank="1" containsMixedTypes="0" containsNumber="1" count="18">
        <n v="0.7999999999883585"/>
        <m/>
        <n v="0"/>
        <n v="4.383333333302289"/>
        <n v="0.4999999998835847"/>
        <n v="3.666666666744277"/>
        <n v="4.166666666627862"/>
        <n v="0.4499999998952262"/>
        <n v="0.3833333333604969"/>
        <n v="0.8333333332557231"/>
        <n v="1.2500000000582077"/>
        <n v="0.48333333333721384"/>
        <n v="0.8166666665347293"/>
        <n v="39.99999999994179"/>
        <n v="0.466666666790843"/>
        <n v="0.33333333337213844"/>
        <n v="41.18333333346527"/>
        <n v="1.116666666639503"/>
      </sharedItems>
    </cacheField>
    <cacheField name="System&#10;Length">
      <sharedItems containsString="0" containsBlank="1" containsMixedTypes="0" containsNumber="1" count="21">
        <m/>
        <n v="0.4333333333488554"/>
        <n v="0.3666666666395031"/>
        <n v="0"/>
        <n v="0.7999999999883585"/>
        <n v="4.383333333302289"/>
        <n v="0.4999999998835847"/>
        <n v="3.666666666744277"/>
        <n v="4.166666666627862"/>
        <n v="0.4499999998952262"/>
        <n v="0.3833333333604969"/>
        <n v="0.8333333332557231"/>
        <n v="1.2500000000582077"/>
        <n v="0.48333333333721384"/>
        <n v="0.3166666666511446"/>
        <n v="0.8166666665347293"/>
        <n v="39.99999999994179"/>
        <n v="0.466666666790843"/>
        <n v="0.33333333337213844"/>
        <n v="41.18333333346527"/>
        <n v="1.116666666639503"/>
      </sharedItems>
    </cacheField>
    <cacheField name="Cause">
      <sharedItems containsBlank="1" containsMixedTypes="0" count="7">
        <m/>
        <s v="PS"/>
        <s v="OA"/>
        <s v="SI"/>
        <s v="RF"/>
        <s v="DIA"/>
        <s v="CTL"/>
      </sharedItems>
    </cacheField>
    <cacheField name="System">
      <sharedItems containsBlank="1" containsMixedTypes="0" count="7">
        <m/>
        <s v="PS"/>
        <s v="OA"/>
        <s v="SI"/>
        <s v="RF"/>
        <s v="DIA"/>
        <s v="CTL"/>
      </sharedItems>
    </cacheField>
    <cacheField name="Group">
      <sharedItems containsBlank="1" containsMixedTypes="0" count="18">
        <m/>
        <s v="PS"/>
        <s v="OA"/>
        <s v="SI"/>
        <s v="RF"/>
        <s v="DIA"/>
        <s v="CTL"/>
        <s v="IT"/>
        <s v="ME"/>
        <s v="MOM"/>
        <s v="OAG"/>
        <s v="OPS"/>
        <s v="Other"/>
        <s v="PFS"/>
        <s v="PHY"/>
        <s v="UES"/>
        <s v="UNK"/>
        <s v="XFD"/>
      </sharedItems>
    </cacheField>
    <cacheField name="Type">
      <sharedItems containsBlank="1" containsMixedTypes="0" count="4">
        <m/>
        <s v="Store Lost"/>
        <s v="Inhibits Beam to User"/>
        <s v="Scheduled"/>
      </sharedItems>
    </cacheField>
    <cacheField name="Description">
      <sharedItems containsBlank="1" containsMixedTypes="0" count="4">
        <m/>
        <s v="Fell below 50mA during B:ES2:PS repair, refilled"/>
        <s v="Swapped converter, PS group investigation "/>
        <s v="Replaced PS after trip"/>
      </sharedItems>
    </cacheField>
    <cacheField name="Store Lost">
      <sharedItems containsMixedTypes="1" containsNumber="1" containsInteger="1" count="2">
        <s v=""/>
        <n v="1"/>
      </sharedItems>
    </cacheField>
    <cacheField name="Intention. Dump">
      <sharedItems containsMixedTypes="0" count="1">
        <s v=""/>
      </sharedItems>
    </cacheField>
    <cacheField name="Inhibits Beam">
      <sharedItems containsBlank="1" containsMixedTypes="1" containsNumber="1" containsInteger="1" count="3">
        <s v=""/>
        <n v="1"/>
        <m/>
      </sharedItems>
    </cacheField>
    <cacheField name="TOTAL">
      <sharedItems containsString="0" containsBlank="1" containsMixedTypes="0" containsNumber="1" containsInteger="1" count="3">
        <n v="0"/>
        <n v="1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5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H8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9">
        <item x="6"/>
        <item m="1" x="10"/>
        <item m="1" x="12"/>
        <item x="1"/>
        <item x="4"/>
        <item m="1" x="15"/>
        <item m="1" x="16"/>
        <item m="1" x="17"/>
        <item h="1" x="0"/>
        <item m="1" x="8"/>
        <item m="1" x="11"/>
        <item x="3"/>
        <item m="1" x="9"/>
        <item x="5"/>
        <item m="1" x="13"/>
        <item x="2"/>
        <item m="1" x="14"/>
        <item m="1" x="7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4">
    <i>
      <x/>
    </i>
    <i i="1">
      <x v="1"/>
    </i>
    <i i="2">
      <x v="2"/>
    </i>
    <i i="3">
      <x v="3"/>
    </i>
  </rowItems>
  <colFields count="1">
    <field x="13"/>
  </colFields>
  <colItems count="7">
    <i>
      <x/>
    </i>
    <i>
      <x v="3"/>
    </i>
    <i>
      <x v="4"/>
    </i>
    <i>
      <x v="11"/>
    </i>
    <i>
      <x v="13"/>
    </i>
    <i>
      <x v="15"/>
    </i>
    <i t="grand">
      <x/>
    </i>
  </colItems>
  <dataFields count="4">
    <dataField name="Sum of Inhibits Beam" fld="18" baseField="0" baseItem="0"/>
    <dataField name="Sum of Intention. Dump" fld="17" baseField="0" baseItem="0"/>
    <dataField name="Sum of Store Lost" fld="16" baseField="0" baseItem="0"/>
    <dataField name="Sum of System&#10;Length" fld="10" baseField="0" baseItem="0" numFmtId="2"/>
  </dataFields>
  <formats count="1">
    <format dxfId="0">
      <pivotArea outline="0" fieldPosition="0">
        <references count="1">
          <reference field="4294967294" count="1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C142"/>
  <sheetViews>
    <sheetView zoomScale="75" zoomScaleNormal="75" workbookViewId="0" topLeftCell="A1">
      <pane ySplit="5" topLeftCell="BM2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8515625" style="29" customWidth="1"/>
    <col min="2" max="2" width="16.140625" style="18" bestFit="1" customWidth="1"/>
    <col min="3" max="3" width="14.421875" style="18" customWidth="1"/>
    <col min="4" max="4" width="8.28125" style="21" customWidth="1"/>
    <col min="5" max="5" width="27.57421875" style="22" customWidth="1"/>
    <col min="6" max="6" width="9.421875" style="50" customWidth="1"/>
    <col min="7" max="7" width="3.28125" style="48" customWidth="1"/>
    <col min="8" max="8" width="14.421875" style="31" customWidth="1"/>
    <col min="9" max="9" width="14.28125" style="31" customWidth="1"/>
    <col min="10" max="10" width="7.7109375" style="21" customWidth="1"/>
    <col min="11" max="11" width="7.8515625" style="34" customWidth="1"/>
    <col min="12" max="12" width="11.421875" style="60" customWidth="1"/>
    <col min="13" max="13" width="13.28125" style="61" customWidth="1"/>
    <col min="14" max="14" width="11.421875" style="61" customWidth="1"/>
    <col min="15" max="15" width="22.00390625" style="60" customWidth="1"/>
    <col min="16" max="16" width="69.28125" style="9" customWidth="1"/>
    <col min="17" max="19" width="5.8515625" style="1" customWidth="1"/>
    <col min="20" max="16384" width="9.140625" style="1" customWidth="1"/>
  </cols>
  <sheetData>
    <row r="1" spans="1:24" ht="12.75">
      <c r="A1" s="16" t="s">
        <v>22</v>
      </c>
      <c r="B1" s="15"/>
      <c r="C1" s="15"/>
      <c r="D1" s="7">
        <v>0.25</v>
      </c>
      <c r="E1" s="13" t="s">
        <v>30</v>
      </c>
      <c r="F1" s="14"/>
      <c r="G1" s="47"/>
      <c r="H1" s="30"/>
      <c r="I1" s="30"/>
      <c r="J1" s="7"/>
      <c r="K1" s="32"/>
      <c r="L1" s="54"/>
      <c r="M1" s="55"/>
      <c r="N1" s="55"/>
      <c r="O1" s="54"/>
      <c r="P1" s="8"/>
      <c r="W1" s="6" t="s">
        <v>23</v>
      </c>
      <c r="X1" s="1">
        <f>D1/24</f>
        <v>0.010416666666666666</v>
      </c>
    </row>
    <row r="2" spans="1:16" ht="24">
      <c r="A2" s="156" t="s">
        <v>66</v>
      </c>
      <c r="B2" s="156"/>
      <c r="C2" s="156"/>
      <c r="D2" s="156"/>
      <c r="E2" s="156"/>
      <c r="F2" s="156"/>
      <c r="G2" s="156"/>
      <c r="H2" s="156"/>
      <c r="I2" s="156"/>
      <c r="J2" s="45"/>
      <c r="K2" s="45"/>
      <c r="L2" s="56"/>
      <c r="M2" s="57"/>
      <c r="N2" s="57"/>
      <c r="O2" s="56"/>
      <c r="P2" s="8"/>
    </row>
    <row r="3" spans="1:20" s="3" customFormat="1" ht="12.75">
      <c r="A3" s="28"/>
      <c r="B3" s="15"/>
      <c r="C3" s="15"/>
      <c r="D3" s="7"/>
      <c r="E3" s="13"/>
      <c r="F3" s="49"/>
      <c r="G3" s="47"/>
      <c r="H3" s="30"/>
      <c r="I3" s="30"/>
      <c r="J3" s="7"/>
      <c r="K3" s="32"/>
      <c r="L3" s="54"/>
      <c r="M3" s="55"/>
      <c r="N3" s="55"/>
      <c r="O3" s="54"/>
      <c r="P3" s="8"/>
      <c r="Q3" s="1"/>
      <c r="R3" s="1"/>
      <c r="S3" s="1"/>
      <c r="T3" s="1"/>
    </row>
    <row r="4" spans="1:20" s="3" customFormat="1" ht="12.75">
      <c r="A4" s="28"/>
      <c r="B4" s="15"/>
      <c r="C4" s="15"/>
      <c r="D4" s="7"/>
      <c r="E4" s="13"/>
      <c r="F4" s="49"/>
      <c r="G4" s="47"/>
      <c r="H4" s="30"/>
      <c r="I4" s="30"/>
      <c r="J4" s="7"/>
      <c r="K4" s="32"/>
      <c r="L4" s="54"/>
      <c r="M4" s="55"/>
      <c r="N4" s="55"/>
      <c r="O4" s="54"/>
      <c r="P4" s="8"/>
      <c r="Q4" s="1"/>
      <c r="R4" s="1"/>
      <c r="S4" s="1"/>
      <c r="T4" s="1"/>
    </row>
    <row r="5" spans="1:20" s="3" customFormat="1" ht="81" customHeight="1">
      <c r="A5" s="36" t="s">
        <v>3</v>
      </c>
      <c r="B5" s="38" t="s">
        <v>0</v>
      </c>
      <c r="C5" s="38" t="s">
        <v>1</v>
      </c>
      <c r="D5" s="23" t="s">
        <v>2</v>
      </c>
      <c r="E5" s="37" t="s">
        <v>19</v>
      </c>
      <c r="F5" s="36" t="s">
        <v>20</v>
      </c>
      <c r="G5" s="10" t="s">
        <v>6</v>
      </c>
      <c r="H5" s="38" t="s">
        <v>0</v>
      </c>
      <c r="I5" s="38" t="s">
        <v>1</v>
      </c>
      <c r="J5" s="23" t="s">
        <v>7</v>
      </c>
      <c r="K5" s="27" t="s">
        <v>21</v>
      </c>
      <c r="L5" s="58" t="s">
        <v>4</v>
      </c>
      <c r="M5" s="59" t="s">
        <v>10</v>
      </c>
      <c r="N5" s="59" t="s">
        <v>37</v>
      </c>
      <c r="O5" s="58" t="s">
        <v>5</v>
      </c>
      <c r="P5" s="11" t="s">
        <v>25</v>
      </c>
      <c r="Q5" s="43" t="s">
        <v>26</v>
      </c>
      <c r="R5" s="43" t="s">
        <v>34</v>
      </c>
      <c r="S5" s="43" t="s">
        <v>32</v>
      </c>
      <c r="T5" s="52" t="s">
        <v>33</v>
      </c>
    </row>
    <row r="6" spans="1:23" s="82" customFormat="1" ht="12.75">
      <c r="A6" s="89">
        <v>1</v>
      </c>
      <c r="B6" s="83">
        <v>39476.333333333336</v>
      </c>
      <c r="C6" s="83">
        <v>39481.31736111111</v>
      </c>
      <c r="D6" s="78">
        <f>(C6-B6)*24</f>
        <v>119.6166666666395</v>
      </c>
      <c r="E6" s="84" t="s">
        <v>69</v>
      </c>
      <c r="F6" s="85">
        <v>105353</v>
      </c>
      <c r="G6" s="86"/>
      <c r="H6" s="83">
        <v>39481.31736111111</v>
      </c>
      <c r="I6" s="83">
        <v>39481.350694444445</v>
      </c>
      <c r="J6" s="78">
        <f>(I6-H6)*24</f>
        <v>0.7999999999883585</v>
      </c>
      <c r="K6" s="78"/>
      <c r="L6" s="87"/>
      <c r="M6" s="87"/>
      <c r="N6" s="87"/>
      <c r="O6" s="88"/>
      <c r="P6" s="84"/>
      <c r="Q6" s="79">
        <f aca="true" t="shared" si="0" ref="Q6:Q48">IF($O6="Store Lost",1,"")</f>
      </c>
      <c r="R6" s="79">
        <f aca="true" t="shared" si="1" ref="R6:R47">IF($L6="Scheduled",1,"")</f>
      </c>
      <c r="S6" s="79">
        <f aca="true" t="shared" si="2" ref="S6:S17">IF($O6="Inhibits beam to user",1,"")</f>
      </c>
      <c r="T6" s="80">
        <f aca="true" t="shared" si="3" ref="T6:T14">SUM(Q6:S6)</f>
        <v>0</v>
      </c>
      <c r="U6" s="81"/>
      <c r="V6" s="81"/>
      <c r="W6" s="81"/>
    </row>
    <row r="7" spans="1:23" s="82" customFormat="1" ht="12.75">
      <c r="A7" s="89"/>
      <c r="B7" s="118"/>
      <c r="C7" s="118"/>
      <c r="D7" s="72"/>
      <c r="E7" s="121"/>
      <c r="F7" s="122"/>
      <c r="G7" s="123"/>
      <c r="H7" s="137">
        <v>39481.31736111111</v>
      </c>
      <c r="I7" s="137">
        <v>39481.33541666667</v>
      </c>
      <c r="J7" s="138"/>
      <c r="K7" s="138">
        <f>(I7-H7)*24</f>
        <v>0.4333333333488554</v>
      </c>
      <c r="L7" s="139" t="s">
        <v>36</v>
      </c>
      <c r="M7" s="139" t="s">
        <v>36</v>
      </c>
      <c r="N7" s="139" t="s">
        <v>36</v>
      </c>
      <c r="O7" s="140" t="s">
        <v>26</v>
      </c>
      <c r="P7" s="136"/>
      <c r="Q7" s="79">
        <f t="shared" si="0"/>
        <v>1</v>
      </c>
      <c r="R7" s="79">
        <f t="shared" si="1"/>
      </c>
      <c r="S7" s="79">
        <f t="shared" si="2"/>
      </c>
      <c r="T7" s="80">
        <f t="shared" si="3"/>
        <v>1</v>
      </c>
      <c r="U7" s="81"/>
      <c r="V7" s="81"/>
      <c r="W7" s="81"/>
    </row>
    <row r="8" spans="1:23" s="82" customFormat="1" ht="12.75">
      <c r="A8" s="89"/>
      <c r="B8" s="118"/>
      <c r="C8" s="118"/>
      <c r="D8" s="72"/>
      <c r="E8" s="121"/>
      <c r="F8" s="122"/>
      <c r="G8" s="123"/>
      <c r="H8" s="132">
        <v>39481.33541666667</v>
      </c>
      <c r="I8" s="132">
        <v>39481.350694444445</v>
      </c>
      <c r="J8" s="133"/>
      <c r="K8" s="133">
        <f>(I8-H8)*24</f>
        <v>0.3666666666395031</v>
      </c>
      <c r="L8" s="134" t="s">
        <v>65</v>
      </c>
      <c r="M8" s="134" t="s">
        <v>65</v>
      </c>
      <c r="N8" s="134" t="s">
        <v>65</v>
      </c>
      <c r="O8" s="135" t="s">
        <v>71</v>
      </c>
      <c r="P8" s="131"/>
      <c r="Q8" s="79">
        <f t="shared" si="0"/>
      </c>
      <c r="R8" s="79">
        <f t="shared" si="1"/>
      </c>
      <c r="S8" s="79">
        <f t="shared" si="2"/>
        <v>1</v>
      </c>
      <c r="T8" s="80">
        <f t="shared" si="3"/>
        <v>1</v>
      </c>
      <c r="U8" s="81"/>
      <c r="V8" s="81"/>
      <c r="W8" s="81"/>
    </row>
    <row r="9" spans="1:23" s="73" customFormat="1" ht="12.75">
      <c r="A9" s="120">
        <v>2</v>
      </c>
      <c r="B9" s="118">
        <v>39481.350694444445</v>
      </c>
      <c r="C9" s="118">
        <v>39483.333333333336</v>
      </c>
      <c r="D9" s="72">
        <f>(C9-B9)*24</f>
        <v>47.58333333337214</v>
      </c>
      <c r="E9" s="121" t="s">
        <v>68</v>
      </c>
      <c r="F9" s="122"/>
      <c r="G9" s="123"/>
      <c r="H9" s="118"/>
      <c r="I9" s="118"/>
      <c r="J9" s="72">
        <f>(I9-H9)*24</f>
        <v>0</v>
      </c>
      <c r="K9" s="72">
        <f>(I9-H9)*24</f>
        <v>0</v>
      </c>
      <c r="L9" s="124"/>
      <c r="M9" s="124"/>
      <c r="N9" s="124"/>
      <c r="O9" s="125" t="s">
        <v>24</v>
      </c>
      <c r="P9" s="121"/>
      <c r="Q9" s="79">
        <f t="shared" si="0"/>
      </c>
      <c r="R9" s="79">
        <f t="shared" si="1"/>
      </c>
      <c r="S9" s="79">
        <f t="shared" si="2"/>
      </c>
      <c r="T9" s="80">
        <f t="shared" si="3"/>
        <v>0</v>
      </c>
      <c r="U9" s="3"/>
      <c r="V9" s="3"/>
      <c r="W9" s="3"/>
    </row>
    <row r="10" spans="1:23" s="73" customFormat="1" ht="12.75">
      <c r="A10" s="63"/>
      <c r="B10" s="64"/>
      <c r="C10" s="64"/>
      <c r="D10" s="65">
        <f>SUM(D6:D9)</f>
        <v>167.20000000001164</v>
      </c>
      <c r="E10" s="66"/>
      <c r="F10" s="67"/>
      <c r="G10" s="68"/>
      <c r="H10" s="64"/>
      <c r="I10" s="64"/>
      <c r="J10" s="65">
        <f>SUM(J6:J9)</f>
        <v>0.7999999999883585</v>
      </c>
      <c r="K10" s="65">
        <f>SUM(K6:K9)</f>
        <v>0.7999999999883585</v>
      </c>
      <c r="L10" s="69"/>
      <c r="M10" s="70"/>
      <c r="N10" s="70"/>
      <c r="O10" s="71"/>
      <c r="P10" s="66"/>
      <c r="Q10" s="79">
        <f t="shared" si="0"/>
      </c>
      <c r="R10" s="79">
        <f t="shared" si="1"/>
      </c>
      <c r="S10" s="79">
        <f t="shared" si="2"/>
      </c>
      <c r="T10" s="80">
        <f t="shared" si="3"/>
        <v>0</v>
      </c>
      <c r="U10" s="3"/>
      <c r="V10" s="3"/>
      <c r="W10" s="3"/>
    </row>
    <row r="11" spans="1:23" s="82" customFormat="1" ht="12.75">
      <c r="A11" s="89">
        <v>3</v>
      </c>
      <c r="B11" s="83">
        <v>39484.333333333336</v>
      </c>
      <c r="C11" s="83">
        <v>39487.32847222222</v>
      </c>
      <c r="D11" s="78">
        <f>(C11-B11)*24</f>
        <v>71.88333333330229</v>
      </c>
      <c r="E11" s="84" t="s">
        <v>72</v>
      </c>
      <c r="F11" s="85">
        <v>105360</v>
      </c>
      <c r="G11" s="86"/>
      <c r="H11" s="83">
        <v>39487.32847222222</v>
      </c>
      <c r="I11" s="83">
        <v>39487.51111111111</v>
      </c>
      <c r="J11" s="78">
        <f>(I11-H11)*24</f>
        <v>4.383333333302289</v>
      </c>
      <c r="K11" s="78">
        <f>(I11-H11)*24</f>
        <v>4.383333333302289</v>
      </c>
      <c r="L11" s="87" t="s">
        <v>36</v>
      </c>
      <c r="M11" s="87" t="s">
        <v>36</v>
      </c>
      <c r="N11" s="87" t="s">
        <v>36</v>
      </c>
      <c r="O11" s="88" t="s">
        <v>71</v>
      </c>
      <c r="P11" s="84" t="s">
        <v>70</v>
      </c>
      <c r="Q11" s="79">
        <v>1</v>
      </c>
      <c r="R11" s="79">
        <f t="shared" si="1"/>
      </c>
      <c r="S11" s="79"/>
      <c r="T11" s="80">
        <f t="shared" si="3"/>
        <v>1</v>
      </c>
      <c r="U11" s="81"/>
      <c r="V11" s="81"/>
      <c r="W11" s="81"/>
    </row>
    <row r="12" spans="1:23" s="73" customFormat="1" ht="12.75">
      <c r="A12" s="120">
        <v>4</v>
      </c>
      <c r="B12" s="118">
        <v>39487.51111111111</v>
      </c>
      <c r="C12" s="118">
        <v>39489.333333333336</v>
      </c>
      <c r="D12" s="72">
        <f>(C12-B12)*24</f>
        <v>43.73333333339542</v>
      </c>
      <c r="E12" s="121" t="s">
        <v>68</v>
      </c>
      <c r="F12" s="122"/>
      <c r="G12" s="123"/>
      <c r="H12" s="118"/>
      <c r="I12" s="118"/>
      <c r="J12" s="72">
        <f>(I12-H12)*24</f>
        <v>0</v>
      </c>
      <c r="K12" s="72">
        <f>(I12-H12)*24</f>
        <v>0</v>
      </c>
      <c r="L12" s="124"/>
      <c r="M12" s="124"/>
      <c r="N12" s="124"/>
      <c r="O12" s="125" t="s">
        <v>24</v>
      </c>
      <c r="P12" s="121"/>
      <c r="Q12" s="79">
        <f t="shared" si="0"/>
      </c>
      <c r="R12" s="79">
        <f t="shared" si="1"/>
      </c>
      <c r="S12" s="79">
        <f t="shared" si="2"/>
      </c>
      <c r="T12" s="80">
        <f t="shared" si="3"/>
        <v>0</v>
      </c>
      <c r="U12" s="3"/>
      <c r="V12" s="3"/>
      <c r="W12" s="3"/>
    </row>
    <row r="13" spans="1:23" s="73" customFormat="1" ht="12.75">
      <c r="A13" s="63"/>
      <c r="B13" s="64"/>
      <c r="C13" s="64"/>
      <c r="D13" s="65">
        <f>SUM(D11:D12)</f>
        <v>115.61666666669771</v>
      </c>
      <c r="E13" s="66"/>
      <c r="F13" s="67"/>
      <c r="G13" s="68"/>
      <c r="H13" s="64"/>
      <c r="I13" s="64"/>
      <c r="J13" s="65">
        <f>SUM(J11:J12)</f>
        <v>4.383333333302289</v>
      </c>
      <c r="K13" s="65">
        <f>SUM(K11:K12)</f>
        <v>4.383333333302289</v>
      </c>
      <c r="L13" s="69"/>
      <c r="M13" s="70"/>
      <c r="N13" s="70"/>
      <c r="O13" s="71"/>
      <c r="P13" s="66"/>
      <c r="Q13" s="79">
        <f t="shared" si="0"/>
      </c>
      <c r="R13" s="79">
        <f t="shared" si="1"/>
      </c>
      <c r="S13" s="79">
        <f t="shared" si="2"/>
      </c>
      <c r="T13" s="80">
        <f t="shared" si="3"/>
        <v>0</v>
      </c>
      <c r="U13" s="3"/>
      <c r="V13" s="3"/>
      <c r="W13" s="3"/>
    </row>
    <row r="14" spans="1:23" s="73" customFormat="1" ht="12.75">
      <c r="A14" s="120">
        <v>5</v>
      </c>
      <c r="B14" s="118">
        <v>39491.333333333336</v>
      </c>
      <c r="C14" s="118">
        <v>39495.123611111114</v>
      </c>
      <c r="D14" s="72">
        <f>(C14-B14)*24</f>
        <v>90.96666666667443</v>
      </c>
      <c r="E14" s="121" t="s">
        <v>74</v>
      </c>
      <c r="F14" s="122">
        <v>105362</v>
      </c>
      <c r="G14" s="123"/>
      <c r="H14" s="118">
        <v>39495.123611111114</v>
      </c>
      <c r="I14" s="118">
        <v>39495.14444444444</v>
      </c>
      <c r="J14" s="72">
        <f>(I14-H14)*24</f>
        <v>0.4999999998835847</v>
      </c>
      <c r="K14" s="72">
        <f>(I14-H14)*24</f>
        <v>0.4999999998835847</v>
      </c>
      <c r="L14" s="124" t="s">
        <v>73</v>
      </c>
      <c r="M14" s="146" t="s">
        <v>73</v>
      </c>
      <c r="N14" s="146" t="s">
        <v>73</v>
      </c>
      <c r="O14" s="125" t="s">
        <v>26</v>
      </c>
      <c r="P14" s="121"/>
      <c r="Q14" s="79">
        <f t="shared" si="0"/>
        <v>1</v>
      </c>
      <c r="R14" s="79">
        <f t="shared" si="1"/>
      </c>
      <c r="S14" s="79"/>
      <c r="T14" s="80">
        <f t="shared" si="3"/>
        <v>1</v>
      </c>
      <c r="U14" s="3"/>
      <c r="V14" s="3"/>
      <c r="W14" s="3"/>
    </row>
    <row r="15" spans="1:23" s="82" customFormat="1" ht="12.75">
      <c r="A15" s="89">
        <v>6</v>
      </c>
      <c r="B15" s="83">
        <v>39495.14444444444</v>
      </c>
      <c r="C15" s="83">
        <v>39495.305555555555</v>
      </c>
      <c r="D15" s="78">
        <f>(C15-B15)*24</f>
        <v>3.8666666666977108</v>
      </c>
      <c r="E15" s="84" t="s">
        <v>75</v>
      </c>
      <c r="F15" s="85">
        <v>105363</v>
      </c>
      <c r="G15" s="86"/>
      <c r="H15" s="83">
        <v>39495.305555555555</v>
      </c>
      <c r="I15" s="83">
        <v>39495.458333333336</v>
      </c>
      <c r="J15" s="78">
        <f>(I15-H15)*24</f>
        <v>3.666666666744277</v>
      </c>
      <c r="K15" s="78">
        <f>(I15-H15)*24</f>
        <v>3.666666666744277</v>
      </c>
      <c r="L15" s="87" t="s">
        <v>36</v>
      </c>
      <c r="M15" s="87" t="s">
        <v>36</v>
      </c>
      <c r="N15" s="87" t="s">
        <v>36</v>
      </c>
      <c r="O15" s="88" t="s">
        <v>26</v>
      </c>
      <c r="P15" s="84" t="s">
        <v>76</v>
      </c>
      <c r="Q15" s="79">
        <f t="shared" si="0"/>
        <v>1</v>
      </c>
      <c r="R15" s="79">
        <f t="shared" si="1"/>
      </c>
      <c r="S15" s="79"/>
      <c r="T15" s="80">
        <f aca="true" t="shared" si="4" ref="T15:T24">SUM(Q15:S15)</f>
        <v>1</v>
      </c>
      <c r="U15" s="81"/>
      <c r="V15" s="81"/>
      <c r="W15" s="81"/>
    </row>
    <row r="16" spans="1:23" s="73" customFormat="1" ht="12.75">
      <c r="A16" s="120">
        <v>7</v>
      </c>
      <c r="B16" s="118">
        <v>39495.458333333336</v>
      </c>
      <c r="C16" s="118">
        <v>39497.333333333336</v>
      </c>
      <c r="D16" s="72">
        <f>(C16-B16)*24</f>
        <v>45</v>
      </c>
      <c r="E16" s="121" t="s">
        <v>68</v>
      </c>
      <c r="F16" s="122"/>
      <c r="G16" s="123"/>
      <c r="H16" s="118"/>
      <c r="I16" s="118"/>
      <c r="J16" s="72">
        <f>(I16-H16)*24</f>
        <v>0</v>
      </c>
      <c r="K16" s="72">
        <f>(I16-H16)*24</f>
        <v>0</v>
      </c>
      <c r="L16" s="124"/>
      <c r="M16" s="124"/>
      <c r="N16" s="124"/>
      <c r="O16" s="125" t="s">
        <v>24</v>
      </c>
      <c r="P16" s="121"/>
      <c r="Q16" s="79">
        <f t="shared" si="0"/>
      </c>
      <c r="R16" s="79">
        <f t="shared" si="1"/>
      </c>
      <c r="S16" s="79">
        <f t="shared" si="2"/>
      </c>
      <c r="T16" s="80">
        <f t="shared" si="4"/>
        <v>0</v>
      </c>
      <c r="U16" s="3"/>
      <c r="V16" s="3"/>
      <c r="W16" s="3"/>
    </row>
    <row r="17" spans="1:23" s="73" customFormat="1" ht="12.75">
      <c r="A17" s="63"/>
      <c r="B17" s="64"/>
      <c r="C17" s="64"/>
      <c r="D17" s="65">
        <f>SUM(D14:D16)</f>
        <v>139.83333333337214</v>
      </c>
      <c r="E17" s="66"/>
      <c r="F17" s="67"/>
      <c r="G17" s="68"/>
      <c r="H17" s="64"/>
      <c r="I17" s="64"/>
      <c r="J17" s="65">
        <f>SUM(J14:J16)</f>
        <v>4.166666666627862</v>
      </c>
      <c r="K17" s="65">
        <f>SUM(K14:K16)</f>
        <v>4.166666666627862</v>
      </c>
      <c r="L17" s="69"/>
      <c r="M17" s="70"/>
      <c r="N17" s="70"/>
      <c r="O17" s="71"/>
      <c r="P17" s="66"/>
      <c r="Q17" s="79">
        <f t="shared" si="0"/>
      </c>
      <c r="R17" s="79">
        <f t="shared" si="1"/>
      </c>
      <c r="S17" s="79">
        <f t="shared" si="2"/>
      </c>
      <c r="T17" s="80">
        <f t="shared" si="4"/>
        <v>0</v>
      </c>
      <c r="U17" s="3"/>
      <c r="V17" s="3"/>
      <c r="W17" s="3"/>
    </row>
    <row r="18" spans="1:23" s="73" customFormat="1" ht="12.75">
      <c r="A18" s="120">
        <v>8</v>
      </c>
      <c r="B18" s="118">
        <v>39498.333333333336</v>
      </c>
      <c r="C18" s="118">
        <v>39502.175</v>
      </c>
      <c r="D18" s="72">
        <f>(C18-B18)*24</f>
        <v>92.20000000001164</v>
      </c>
      <c r="E18" s="121" t="s">
        <v>77</v>
      </c>
      <c r="F18" s="122">
        <v>105367</v>
      </c>
      <c r="G18" s="123"/>
      <c r="H18" s="118">
        <v>39502.175</v>
      </c>
      <c r="I18" s="118">
        <v>39502.19375</v>
      </c>
      <c r="J18" s="72">
        <f>(I18-H18)*24</f>
        <v>0.4499999998952262</v>
      </c>
      <c r="K18" s="72">
        <f>(I18-H18)*24</f>
        <v>0.4499999998952262</v>
      </c>
      <c r="L18" s="124" t="s">
        <v>38</v>
      </c>
      <c r="M18" s="146" t="s">
        <v>38</v>
      </c>
      <c r="N18" s="146" t="s">
        <v>38</v>
      </c>
      <c r="O18" s="125" t="s">
        <v>26</v>
      </c>
      <c r="P18" s="121"/>
      <c r="Q18" s="79">
        <f t="shared" si="0"/>
        <v>1</v>
      </c>
      <c r="R18" s="79">
        <f t="shared" si="1"/>
      </c>
      <c r="S18" s="79"/>
      <c r="T18" s="80">
        <f t="shared" si="4"/>
        <v>1</v>
      </c>
      <c r="U18" s="3"/>
      <c r="V18" s="3"/>
      <c r="W18" s="3"/>
    </row>
    <row r="19" spans="1:23" s="82" customFormat="1" ht="12.75">
      <c r="A19" s="89">
        <v>9</v>
      </c>
      <c r="B19" s="83">
        <v>39502.19375</v>
      </c>
      <c r="C19" s="83">
        <v>39504.12013888889</v>
      </c>
      <c r="D19" s="78">
        <f>(C19-B19)*24</f>
        <v>46.233333333337214</v>
      </c>
      <c r="E19" s="84" t="s">
        <v>78</v>
      </c>
      <c r="F19" s="85">
        <v>105368</v>
      </c>
      <c r="G19" s="86"/>
      <c r="H19" s="83">
        <v>39504.12013888889</v>
      </c>
      <c r="I19" s="83">
        <v>39504.13611111111</v>
      </c>
      <c r="J19" s="78">
        <f>(I19-H19)*24</f>
        <v>0.3833333333604969</v>
      </c>
      <c r="K19" s="78">
        <f>(I19-H19)*24</f>
        <v>0.3833333333604969</v>
      </c>
      <c r="L19" s="87" t="s">
        <v>38</v>
      </c>
      <c r="M19" s="87" t="s">
        <v>38</v>
      </c>
      <c r="N19" s="87" t="s">
        <v>38</v>
      </c>
      <c r="O19" s="88" t="s">
        <v>26</v>
      </c>
      <c r="P19" s="84"/>
      <c r="Q19" s="79">
        <f t="shared" si="0"/>
        <v>1</v>
      </c>
      <c r="R19" s="79">
        <f t="shared" si="1"/>
      </c>
      <c r="S19" s="79"/>
      <c r="T19" s="80">
        <f t="shared" si="4"/>
        <v>1</v>
      </c>
      <c r="U19" s="81"/>
      <c r="V19" s="81"/>
      <c r="W19" s="81"/>
    </row>
    <row r="20" spans="1:23" s="73" customFormat="1" ht="12.75">
      <c r="A20" s="120">
        <v>10</v>
      </c>
      <c r="B20" s="118">
        <v>39504.13611111111</v>
      </c>
      <c r="C20" s="118">
        <v>39504.333333333336</v>
      </c>
      <c r="D20" s="72">
        <f>(C20-B20)*24</f>
        <v>4.7333333333954215</v>
      </c>
      <c r="E20" s="121" t="s">
        <v>68</v>
      </c>
      <c r="F20" s="122"/>
      <c r="G20" s="123"/>
      <c r="H20" s="118"/>
      <c r="I20" s="118"/>
      <c r="J20" s="72">
        <f>(I20-H20)*24</f>
        <v>0</v>
      </c>
      <c r="K20" s="72">
        <f>(I20-H20)*24</f>
        <v>0</v>
      </c>
      <c r="L20" s="124"/>
      <c r="M20" s="124"/>
      <c r="N20" s="124"/>
      <c r="O20" s="125" t="s">
        <v>24</v>
      </c>
      <c r="P20" s="121"/>
      <c r="Q20" s="79">
        <f t="shared" si="0"/>
      </c>
      <c r="R20" s="79">
        <f t="shared" si="1"/>
      </c>
      <c r="S20" s="79">
        <f>IF($O20="Inhibits beam to user",1,"")</f>
      </c>
      <c r="T20" s="80">
        <f t="shared" si="4"/>
        <v>0</v>
      </c>
      <c r="U20" s="3"/>
      <c r="V20" s="3"/>
      <c r="W20" s="3"/>
    </row>
    <row r="21" spans="1:23" s="73" customFormat="1" ht="12.75">
      <c r="A21" s="63"/>
      <c r="B21" s="64"/>
      <c r="C21" s="64"/>
      <c r="D21" s="65">
        <f>SUM(D18:D20)</f>
        <v>143.16666666674428</v>
      </c>
      <c r="E21" s="66"/>
      <c r="F21" s="67"/>
      <c r="G21" s="68"/>
      <c r="H21" s="64"/>
      <c r="I21" s="64"/>
      <c r="J21" s="65">
        <f>SUM(J18:J20)</f>
        <v>0.8333333332557231</v>
      </c>
      <c r="K21" s="65">
        <f>SUM(K18:K20)</f>
        <v>0.8333333332557231</v>
      </c>
      <c r="L21" s="69"/>
      <c r="M21" s="70"/>
      <c r="N21" s="70"/>
      <c r="O21" s="71"/>
      <c r="P21" s="66"/>
      <c r="Q21" s="79">
        <f t="shared" si="0"/>
      </c>
      <c r="R21" s="79">
        <f t="shared" si="1"/>
      </c>
      <c r="S21" s="79">
        <f>IF($O21="Inhibits beam to user",1,"")</f>
      </c>
      <c r="T21" s="80">
        <f t="shared" si="4"/>
        <v>0</v>
      </c>
      <c r="U21" s="3"/>
      <c r="V21" s="3"/>
      <c r="W21" s="3"/>
    </row>
    <row r="22" spans="1:23" s="82" customFormat="1" ht="12.75">
      <c r="A22" s="89">
        <v>11</v>
      </c>
      <c r="B22" s="83">
        <v>39505.333333333336</v>
      </c>
      <c r="C22" s="83">
        <v>39506.61388888889</v>
      </c>
      <c r="D22" s="78">
        <f>(C22-B22)*24</f>
        <v>30.733333333279006</v>
      </c>
      <c r="E22" s="84" t="s">
        <v>79</v>
      </c>
      <c r="F22" s="85">
        <v>105370</v>
      </c>
      <c r="G22" s="86"/>
      <c r="H22" s="83">
        <v>39506.61388888889</v>
      </c>
      <c r="I22" s="83">
        <v>39506.665972222225</v>
      </c>
      <c r="J22" s="78">
        <f>(I22-H22)*24</f>
        <v>1.2500000000582077</v>
      </c>
      <c r="K22" s="78">
        <f>(I22-H22)*24</f>
        <v>1.2500000000582077</v>
      </c>
      <c r="L22" s="87" t="s">
        <v>36</v>
      </c>
      <c r="M22" s="87" t="s">
        <v>36</v>
      </c>
      <c r="N22" s="87" t="s">
        <v>36</v>
      </c>
      <c r="O22" s="88" t="s">
        <v>26</v>
      </c>
      <c r="P22" s="84"/>
      <c r="Q22" s="79">
        <v>1</v>
      </c>
      <c r="R22" s="79">
        <f t="shared" si="1"/>
      </c>
      <c r="S22" s="79"/>
      <c r="T22" s="80">
        <f t="shared" si="4"/>
        <v>1</v>
      </c>
      <c r="U22" s="81"/>
      <c r="V22" s="81"/>
      <c r="W22" s="81"/>
    </row>
    <row r="23" spans="1:23" s="73" customFormat="1" ht="12.75">
      <c r="A23" s="120">
        <v>12</v>
      </c>
      <c r="B23" s="118">
        <v>39506.665972222225</v>
      </c>
      <c r="C23" s="118">
        <v>39511.333333333336</v>
      </c>
      <c r="D23" s="72">
        <f>(C23-B23)*24</f>
        <v>112.01666666666279</v>
      </c>
      <c r="E23" s="121" t="s">
        <v>68</v>
      </c>
      <c r="F23" s="122"/>
      <c r="G23" s="123"/>
      <c r="H23" s="118"/>
      <c r="I23" s="118"/>
      <c r="J23" s="72">
        <f>(I23-H23)*24</f>
        <v>0</v>
      </c>
      <c r="K23" s="72">
        <f>(I23-H23)*24</f>
        <v>0</v>
      </c>
      <c r="L23" s="124"/>
      <c r="M23" s="124"/>
      <c r="N23" s="124"/>
      <c r="O23" s="125" t="s">
        <v>24</v>
      </c>
      <c r="P23" s="121"/>
      <c r="Q23" s="79">
        <f t="shared" si="0"/>
      </c>
      <c r="R23" s="79">
        <f t="shared" si="1"/>
      </c>
      <c r="S23" s="79">
        <f>IF($O23="Inhibits beam to user",1,"")</f>
      </c>
      <c r="T23" s="80">
        <f t="shared" si="4"/>
        <v>0</v>
      </c>
      <c r="U23" s="3"/>
      <c r="V23" s="3"/>
      <c r="W23" s="3"/>
    </row>
    <row r="24" spans="1:23" s="73" customFormat="1" ht="12.75">
      <c r="A24" s="63"/>
      <c r="B24" s="64"/>
      <c r="C24" s="64"/>
      <c r="D24" s="65">
        <f>SUM(D22:D23)</f>
        <v>142.7499999999418</v>
      </c>
      <c r="E24" s="66"/>
      <c r="F24" s="67"/>
      <c r="G24" s="68"/>
      <c r="H24" s="64"/>
      <c r="I24" s="64"/>
      <c r="J24" s="65">
        <f>SUM(J22:J23)</f>
        <v>1.2500000000582077</v>
      </c>
      <c r="K24" s="65">
        <f>SUM(K22:K23)</f>
        <v>1.2500000000582077</v>
      </c>
      <c r="L24" s="69"/>
      <c r="M24" s="70"/>
      <c r="N24" s="70"/>
      <c r="O24" s="71"/>
      <c r="P24" s="66"/>
      <c r="Q24" s="79">
        <f t="shared" si="0"/>
      </c>
      <c r="R24" s="79">
        <f t="shared" si="1"/>
      </c>
      <c r="S24" s="79">
        <f>IF($O24="Inhibits beam to user",1,"")</f>
      </c>
      <c r="T24" s="80">
        <f t="shared" si="4"/>
        <v>0</v>
      </c>
      <c r="U24" s="3"/>
      <c r="V24" s="3"/>
      <c r="W24" s="3"/>
    </row>
    <row r="25" spans="1:23" s="73" customFormat="1" ht="12.75">
      <c r="A25" s="120">
        <v>13</v>
      </c>
      <c r="B25" s="118">
        <v>39512.333333333336</v>
      </c>
      <c r="C25" s="118">
        <v>39517.333333333336</v>
      </c>
      <c r="D25" s="72">
        <f>(C25-B25)*24-1</f>
        <v>119</v>
      </c>
      <c r="E25" s="121" t="s">
        <v>68</v>
      </c>
      <c r="F25" s="122"/>
      <c r="G25" s="123"/>
      <c r="H25" s="118"/>
      <c r="I25" s="118"/>
      <c r="J25" s="72">
        <f>(I25-H25)*24</f>
        <v>0</v>
      </c>
      <c r="K25" s="72">
        <f>(I25-H25)*24</f>
        <v>0</v>
      </c>
      <c r="L25" s="124"/>
      <c r="M25" s="124"/>
      <c r="N25" s="124"/>
      <c r="O25" s="125" t="s">
        <v>24</v>
      </c>
      <c r="P25" s="121"/>
      <c r="Q25" s="79">
        <f t="shared" si="0"/>
      </c>
      <c r="R25" s="79">
        <f t="shared" si="1"/>
      </c>
      <c r="S25" s="79">
        <f>IF($O25="Inhibits beam to user",1,"")</f>
      </c>
      <c r="T25" s="80">
        <f aca="true" t="shared" si="5" ref="T25:T42">SUM(Q25:S25)</f>
        <v>0</v>
      </c>
      <c r="U25" s="3"/>
      <c r="V25" s="3"/>
      <c r="W25" s="3"/>
    </row>
    <row r="26" spans="1:23" s="73" customFormat="1" ht="12.75">
      <c r="A26" s="63"/>
      <c r="B26" s="64"/>
      <c r="C26" s="64"/>
      <c r="D26" s="65">
        <f>SUM(D25:D25)</f>
        <v>119</v>
      </c>
      <c r="E26" s="66"/>
      <c r="F26" s="67"/>
      <c r="G26" s="68"/>
      <c r="H26" s="64"/>
      <c r="I26" s="64"/>
      <c r="J26" s="65">
        <f>SUM(J25:J25)</f>
        <v>0</v>
      </c>
      <c r="K26" s="65">
        <f>SUM(K25:K25)</f>
        <v>0</v>
      </c>
      <c r="L26" s="69"/>
      <c r="M26" s="70"/>
      <c r="N26" s="70"/>
      <c r="O26" s="71"/>
      <c r="P26" s="66"/>
      <c r="Q26" s="79">
        <f t="shared" si="0"/>
      </c>
      <c r="R26" s="79">
        <f t="shared" si="1"/>
      </c>
      <c r="S26" s="79">
        <f>IF($O26="Inhibits beam to user",1,"")</f>
      </c>
      <c r="T26" s="80">
        <f t="shared" si="5"/>
        <v>0</v>
      </c>
      <c r="U26" s="3"/>
      <c r="V26" s="3"/>
      <c r="W26" s="3"/>
    </row>
    <row r="27" spans="1:23" s="82" customFormat="1" ht="12.75">
      <c r="A27" s="89">
        <v>14</v>
      </c>
      <c r="B27" s="83">
        <v>39519.333333333336</v>
      </c>
      <c r="C27" s="83">
        <v>39520.165972222225</v>
      </c>
      <c r="D27" s="78">
        <f>(C27-B27)*24</f>
        <v>19.983333333337214</v>
      </c>
      <c r="E27" s="84" t="s">
        <v>80</v>
      </c>
      <c r="F27" s="85">
        <v>105374</v>
      </c>
      <c r="G27" s="86"/>
      <c r="H27" s="83">
        <v>39520.165972222225</v>
      </c>
      <c r="I27" s="83">
        <v>39520.186111111114</v>
      </c>
      <c r="J27" s="78">
        <f>(I27-H27)*24</f>
        <v>0.48333333333721384</v>
      </c>
      <c r="K27" s="78">
        <f>(I27-H27)*24</f>
        <v>0.48333333333721384</v>
      </c>
      <c r="L27" s="87" t="s">
        <v>38</v>
      </c>
      <c r="M27" s="87" t="s">
        <v>38</v>
      </c>
      <c r="N27" s="87" t="s">
        <v>38</v>
      </c>
      <c r="O27" s="88" t="s">
        <v>26</v>
      </c>
      <c r="P27" s="84"/>
      <c r="Q27" s="79">
        <v>1</v>
      </c>
      <c r="R27" s="79">
        <f t="shared" si="1"/>
      </c>
      <c r="S27" s="79"/>
      <c r="T27" s="80">
        <f t="shared" si="5"/>
        <v>1</v>
      </c>
      <c r="U27" s="81"/>
      <c r="V27" s="81"/>
      <c r="W27" s="81"/>
    </row>
    <row r="28" spans="1:23" s="73" customFormat="1" ht="12.75">
      <c r="A28" s="120">
        <v>15</v>
      </c>
      <c r="B28" s="118">
        <v>39520.186111111114</v>
      </c>
      <c r="C28" s="118">
        <v>39525.333333333336</v>
      </c>
      <c r="D28" s="72">
        <f>(C28-B28)*24</f>
        <v>123.53333333332557</v>
      </c>
      <c r="E28" s="121" t="s">
        <v>68</v>
      </c>
      <c r="F28" s="122"/>
      <c r="G28" s="123"/>
      <c r="H28" s="118"/>
      <c r="I28" s="118"/>
      <c r="J28" s="72">
        <f>(I28-H28)*24</f>
        <v>0</v>
      </c>
      <c r="K28" s="72">
        <f>(I28-H28)*24</f>
        <v>0</v>
      </c>
      <c r="L28" s="124"/>
      <c r="M28" s="124"/>
      <c r="N28" s="124"/>
      <c r="O28" s="125" t="s">
        <v>24</v>
      </c>
      <c r="P28" s="121"/>
      <c r="Q28" s="79">
        <f t="shared" si="0"/>
      </c>
      <c r="R28" s="79">
        <f t="shared" si="1"/>
      </c>
      <c r="S28" s="79">
        <f>IF($O28="Inhibits beam to user",1,"")</f>
      </c>
      <c r="T28" s="80">
        <f t="shared" si="5"/>
        <v>0</v>
      </c>
      <c r="U28" s="3"/>
      <c r="V28" s="3"/>
      <c r="W28" s="3"/>
    </row>
    <row r="29" spans="1:23" s="73" customFormat="1" ht="12.75">
      <c r="A29" s="63"/>
      <c r="B29" s="64"/>
      <c r="C29" s="64"/>
      <c r="D29" s="65">
        <f>SUM(D27:D28)</f>
        <v>143.5166666666628</v>
      </c>
      <c r="E29" s="66"/>
      <c r="F29" s="67"/>
      <c r="G29" s="68"/>
      <c r="H29" s="64"/>
      <c r="I29" s="64"/>
      <c r="J29" s="65">
        <f>SUM(J27:J28)</f>
        <v>0.48333333333721384</v>
      </c>
      <c r="K29" s="65">
        <f>SUM(K27:K28)</f>
        <v>0.48333333333721384</v>
      </c>
      <c r="L29" s="69"/>
      <c r="M29" s="70"/>
      <c r="N29" s="70"/>
      <c r="O29" s="71"/>
      <c r="P29" s="66"/>
      <c r="Q29" s="79">
        <f t="shared" si="0"/>
      </c>
      <c r="R29" s="79">
        <f t="shared" si="1"/>
      </c>
      <c r="S29" s="79">
        <f>IF($O29="Inhibits beam to user",1,"")</f>
      </c>
      <c r="T29" s="80">
        <f t="shared" si="5"/>
        <v>0</v>
      </c>
      <c r="U29" s="3"/>
      <c r="V29" s="3"/>
      <c r="W29" s="3"/>
    </row>
    <row r="30" spans="1:23" s="82" customFormat="1" ht="12.75">
      <c r="A30" s="89">
        <v>16</v>
      </c>
      <c r="B30" s="83">
        <v>39526.333333333336</v>
      </c>
      <c r="C30" s="83">
        <v>39526.62152777778</v>
      </c>
      <c r="D30" s="78">
        <f>(C30-B30)*24</f>
        <v>6.916666666686069</v>
      </c>
      <c r="E30" s="84" t="s">
        <v>82</v>
      </c>
      <c r="F30" s="85">
        <v>105375</v>
      </c>
      <c r="G30" s="86"/>
      <c r="H30" s="83">
        <v>39526.62152777778</v>
      </c>
      <c r="I30" s="83">
        <v>39526.65555555555</v>
      </c>
      <c r="J30" s="78">
        <f>(I30-H30)*24</f>
        <v>0.8166666665347293</v>
      </c>
      <c r="K30" s="78"/>
      <c r="L30" s="87"/>
      <c r="M30" s="87"/>
      <c r="N30" s="87"/>
      <c r="O30" s="88"/>
      <c r="P30" s="84"/>
      <c r="Q30" s="79">
        <f t="shared" si="0"/>
      </c>
      <c r="R30" s="79">
        <f t="shared" si="1"/>
      </c>
      <c r="S30" s="79"/>
      <c r="T30" s="80">
        <f t="shared" si="5"/>
        <v>0</v>
      </c>
      <c r="U30" s="81"/>
      <c r="V30" s="81"/>
      <c r="W30" s="81"/>
    </row>
    <row r="31" spans="1:23" s="82" customFormat="1" ht="12.75">
      <c r="A31" s="89"/>
      <c r="B31" s="118"/>
      <c r="C31" s="118"/>
      <c r="D31" s="72"/>
      <c r="E31" s="121"/>
      <c r="F31" s="122"/>
      <c r="G31" s="123"/>
      <c r="H31" s="137">
        <v>39526.62152777778</v>
      </c>
      <c r="I31" s="137">
        <v>39526.64236111111</v>
      </c>
      <c r="J31" s="138"/>
      <c r="K31" s="138">
        <f>(I31-H31)*24</f>
        <v>0.4999999998835847</v>
      </c>
      <c r="L31" s="139" t="s">
        <v>81</v>
      </c>
      <c r="M31" s="139" t="s">
        <v>81</v>
      </c>
      <c r="N31" s="139" t="s">
        <v>81</v>
      </c>
      <c r="O31" s="140" t="s">
        <v>26</v>
      </c>
      <c r="P31" s="136"/>
      <c r="Q31" s="79">
        <f t="shared" si="0"/>
        <v>1</v>
      </c>
      <c r="R31" s="79">
        <f t="shared" si="1"/>
      </c>
      <c r="S31" s="79">
        <f>IF($O31="Inhibits beam to user",1,"")</f>
      </c>
      <c r="T31" s="80">
        <f t="shared" si="5"/>
        <v>1</v>
      </c>
      <c r="U31" s="81"/>
      <c r="V31" s="81"/>
      <c r="W31" s="81"/>
    </row>
    <row r="32" spans="1:23" s="82" customFormat="1" ht="12.75">
      <c r="A32" s="89"/>
      <c r="B32" s="118"/>
      <c r="C32" s="118"/>
      <c r="D32" s="72"/>
      <c r="E32" s="121"/>
      <c r="F32" s="122"/>
      <c r="G32" s="123"/>
      <c r="H32" s="132">
        <v>39526.64236111111</v>
      </c>
      <c r="I32" s="132">
        <v>39526.65555555555</v>
      </c>
      <c r="J32" s="133"/>
      <c r="K32" s="133">
        <f>(I32-H32)*24</f>
        <v>0.3166666666511446</v>
      </c>
      <c r="L32" s="134" t="s">
        <v>36</v>
      </c>
      <c r="M32" s="134" t="s">
        <v>36</v>
      </c>
      <c r="N32" s="134" t="s">
        <v>36</v>
      </c>
      <c r="O32" s="135" t="s">
        <v>71</v>
      </c>
      <c r="P32" s="131" t="s">
        <v>83</v>
      </c>
      <c r="Q32" s="79">
        <f t="shared" si="0"/>
      </c>
      <c r="R32" s="79">
        <f t="shared" si="1"/>
      </c>
      <c r="S32" s="79">
        <f>IF($O32="Inhibits beam to user",1,"")</f>
        <v>1</v>
      </c>
      <c r="T32" s="80">
        <f t="shared" si="5"/>
        <v>1</v>
      </c>
      <c r="U32" s="81"/>
      <c r="V32" s="81"/>
      <c r="W32" s="81"/>
    </row>
    <row r="33" spans="1:23" s="73" customFormat="1" ht="12.75">
      <c r="A33" s="120">
        <v>17</v>
      </c>
      <c r="B33" s="118">
        <v>39526.65555555555</v>
      </c>
      <c r="C33" s="118">
        <v>39531.333333333336</v>
      </c>
      <c r="D33" s="72">
        <f>(C33-B33)*24</f>
        <v>112.2666666667792</v>
      </c>
      <c r="E33" s="121" t="s">
        <v>68</v>
      </c>
      <c r="F33" s="122"/>
      <c r="G33" s="123"/>
      <c r="H33" s="118"/>
      <c r="I33" s="118"/>
      <c r="J33" s="72">
        <f>(I33-H33)*24</f>
        <v>0</v>
      </c>
      <c r="K33" s="72">
        <f>(I33-H33)*24</f>
        <v>0</v>
      </c>
      <c r="L33" s="124"/>
      <c r="M33" s="124"/>
      <c r="N33" s="124"/>
      <c r="O33" s="125" t="s">
        <v>24</v>
      </c>
      <c r="P33" s="121"/>
      <c r="Q33" s="79">
        <f t="shared" si="0"/>
      </c>
      <c r="R33" s="79">
        <f t="shared" si="1"/>
      </c>
      <c r="S33" s="79">
        <f>IF($O33="Inhibits beam to user",1,"")</f>
      </c>
      <c r="T33" s="80">
        <f t="shared" si="5"/>
        <v>0</v>
      </c>
      <c r="U33" s="3"/>
      <c r="V33" s="3"/>
      <c r="W33" s="3"/>
    </row>
    <row r="34" spans="1:23" s="73" customFormat="1" ht="12.75">
      <c r="A34" s="63"/>
      <c r="B34" s="64"/>
      <c r="C34" s="64"/>
      <c r="D34" s="65">
        <f>SUM(D30:D33)</f>
        <v>119.18333333346527</v>
      </c>
      <c r="E34" s="66"/>
      <c r="F34" s="67"/>
      <c r="G34" s="68"/>
      <c r="H34" s="64"/>
      <c r="I34" s="64"/>
      <c r="J34" s="65">
        <f>SUM(J30:J33)</f>
        <v>0.8166666665347293</v>
      </c>
      <c r="K34" s="65">
        <f>SUM(K30:K33)</f>
        <v>0.8166666665347293</v>
      </c>
      <c r="L34" s="69"/>
      <c r="M34" s="70"/>
      <c r="N34" s="70"/>
      <c r="O34" s="71"/>
      <c r="P34" s="66"/>
      <c r="Q34" s="79">
        <f t="shared" si="0"/>
      </c>
      <c r="R34" s="79">
        <f t="shared" si="1"/>
      </c>
      <c r="S34" s="79">
        <f>IF($O34="Inhibits beam to user",1,"")</f>
      </c>
      <c r="T34" s="80">
        <f t="shared" si="5"/>
        <v>0</v>
      </c>
      <c r="U34" s="3"/>
      <c r="V34" s="3"/>
      <c r="W34" s="3"/>
    </row>
    <row r="35" spans="1:23" s="73" customFormat="1" ht="12.75">
      <c r="A35" s="120"/>
      <c r="B35" s="118"/>
      <c r="C35" s="118"/>
      <c r="D35" s="72">
        <f aca="true" t="shared" si="6" ref="D35:D41">(C35-B35)*24</f>
        <v>0</v>
      </c>
      <c r="E35" s="121" t="s">
        <v>87</v>
      </c>
      <c r="F35" s="122">
        <v>105378</v>
      </c>
      <c r="G35" s="123"/>
      <c r="H35" s="118">
        <v>39533.333333333336</v>
      </c>
      <c r="I35" s="118">
        <v>39535</v>
      </c>
      <c r="J35" s="72">
        <f>(I35-H35)*24</f>
        <v>39.99999999994179</v>
      </c>
      <c r="K35" s="72">
        <f>(I35-H35)*24</f>
        <v>39.99999999994179</v>
      </c>
      <c r="L35" s="124" t="s">
        <v>38</v>
      </c>
      <c r="M35" s="146" t="s">
        <v>38</v>
      </c>
      <c r="N35" s="146" t="s">
        <v>38</v>
      </c>
      <c r="O35" s="125" t="s">
        <v>71</v>
      </c>
      <c r="P35" s="121"/>
      <c r="Q35" s="79">
        <f t="shared" si="0"/>
      </c>
      <c r="R35" s="79">
        <f t="shared" si="1"/>
      </c>
      <c r="S35" s="79"/>
      <c r="T35" s="80">
        <f>SUM(Q35:S35)</f>
        <v>0</v>
      </c>
      <c r="U35" s="3"/>
      <c r="V35" s="3"/>
      <c r="W35" s="3"/>
    </row>
    <row r="36" spans="1:23" s="82" customFormat="1" ht="12.75">
      <c r="A36" s="89">
        <v>18</v>
      </c>
      <c r="B36" s="83">
        <v>39535</v>
      </c>
      <c r="C36" s="83">
        <v>39535.32083333333</v>
      </c>
      <c r="D36" s="78">
        <f t="shared" si="6"/>
        <v>7.699999999953434</v>
      </c>
      <c r="E36" s="84" t="s">
        <v>85</v>
      </c>
      <c r="F36" s="85">
        <v>105380</v>
      </c>
      <c r="G36" s="86"/>
      <c r="H36" s="83">
        <v>39535.32083333333</v>
      </c>
      <c r="I36" s="83">
        <v>39535.34027777778</v>
      </c>
      <c r="J36" s="78">
        <f>(I36-H36)*24</f>
        <v>0.466666666790843</v>
      </c>
      <c r="K36" s="78">
        <f>(I36-H36)*24</f>
        <v>0.466666666790843</v>
      </c>
      <c r="L36" s="87" t="s">
        <v>38</v>
      </c>
      <c r="M36" s="87" t="s">
        <v>38</v>
      </c>
      <c r="N36" s="87" t="s">
        <v>38</v>
      </c>
      <c r="O36" s="88" t="s">
        <v>26</v>
      </c>
      <c r="P36" s="84"/>
      <c r="Q36" s="79">
        <f t="shared" si="0"/>
        <v>1</v>
      </c>
      <c r="R36" s="79">
        <f t="shared" si="1"/>
      </c>
      <c r="S36" s="79"/>
      <c r="T36" s="80">
        <f>SUM(Q36:S36)</f>
        <v>1</v>
      </c>
      <c r="U36" s="81"/>
      <c r="V36" s="81"/>
      <c r="W36" s="81"/>
    </row>
    <row r="37" spans="1:23" s="73" customFormat="1" ht="12.75">
      <c r="A37" s="120">
        <v>19</v>
      </c>
      <c r="B37" s="118">
        <v>39535.34027777778</v>
      </c>
      <c r="C37" s="118">
        <v>39535.57638888889</v>
      </c>
      <c r="D37" s="72">
        <f t="shared" si="6"/>
        <v>5.666666666627862</v>
      </c>
      <c r="E37" s="121" t="s">
        <v>86</v>
      </c>
      <c r="F37" s="122">
        <v>105381</v>
      </c>
      <c r="G37" s="123"/>
      <c r="H37" s="118">
        <v>39535.57638888889</v>
      </c>
      <c r="I37" s="118">
        <v>39535.59027777778</v>
      </c>
      <c r="J37" s="72">
        <f>(I37-H37)*24</f>
        <v>0.33333333337213844</v>
      </c>
      <c r="K37" s="72">
        <f>(I37-H37)*24</f>
        <v>0.33333333337213844</v>
      </c>
      <c r="L37" s="124" t="s">
        <v>84</v>
      </c>
      <c r="M37" s="146" t="s">
        <v>84</v>
      </c>
      <c r="N37" s="146" t="s">
        <v>84</v>
      </c>
      <c r="O37" s="125" t="s">
        <v>26</v>
      </c>
      <c r="P37" s="121"/>
      <c r="Q37" s="79">
        <f t="shared" si="0"/>
        <v>1</v>
      </c>
      <c r="R37" s="79">
        <f t="shared" si="1"/>
      </c>
      <c r="S37" s="79"/>
      <c r="T37" s="80">
        <f t="shared" si="5"/>
        <v>1</v>
      </c>
      <c r="U37" s="3"/>
      <c r="V37" s="3"/>
      <c r="W37" s="3"/>
    </row>
    <row r="38" spans="1:23" s="82" customFormat="1" ht="12.75">
      <c r="A38" s="89">
        <v>20</v>
      </c>
      <c r="B38" s="83">
        <v>39535.59027777778</v>
      </c>
      <c r="C38" s="83">
        <v>39539.333333333336</v>
      </c>
      <c r="D38" s="78">
        <f t="shared" si="6"/>
        <v>89.83333333331393</v>
      </c>
      <c r="E38" s="84" t="s">
        <v>88</v>
      </c>
      <c r="F38" s="85"/>
      <c r="G38" s="86"/>
      <c r="H38" s="83"/>
      <c r="I38" s="83"/>
      <c r="J38" s="78">
        <f>(I38-H38)*24</f>
        <v>0</v>
      </c>
      <c r="K38" s="78">
        <f>(I38-H38)*24</f>
        <v>0</v>
      </c>
      <c r="L38" s="87"/>
      <c r="M38" s="87"/>
      <c r="N38" s="87"/>
      <c r="O38" s="88"/>
      <c r="P38" s="84"/>
      <c r="Q38" s="79">
        <f t="shared" si="0"/>
      </c>
      <c r="R38" s="79">
        <f t="shared" si="1"/>
      </c>
      <c r="S38" s="79"/>
      <c r="T38" s="80">
        <f>SUM(Q38:S38)</f>
        <v>0</v>
      </c>
      <c r="U38" s="81"/>
      <c r="V38" s="81"/>
      <c r="W38" s="81"/>
    </row>
    <row r="39" spans="1:23" s="82" customFormat="1" ht="12.75">
      <c r="A39" s="147"/>
      <c r="B39" s="148">
        <v>39539.333333333336</v>
      </c>
      <c r="C39" s="148">
        <v>39540.333333333336</v>
      </c>
      <c r="D39" s="149">
        <f t="shared" si="6"/>
        <v>24</v>
      </c>
      <c r="E39" s="150" t="s">
        <v>89</v>
      </c>
      <c r="F39" s="151"/>
      <c r="G39" s="152"/>
      <c r="H39" s="148"/>
      <c r="I39" s="148"/>
      <c r="J39" s="149"/>
      <c r="K39" s="149"/>
      <c r="L39" s="153"/>
      <c r="M39" s="153"/>
      <c r="N39" s="153"/>
      <c r="O39" s="154"/>
      <c r="P39" s="150"/>
      <c r="Q39" s="79">
        <f t="shared" si="0"/>
      </c>
      <c r="R39" s="79">
        <f t="shared" si="1"/>
      </c>
      <c r="S39" s="79"/>
      <c r="T39" s="80">
        <f>SUM(Q39:S39)</f>
        <v>0</v>
      </c>
      <c r="U39" s="81"/>
      <c r="V39" s="81"/>
      <c r="W39" s="81"/>
    </row>
    <row r="40" spans="1:23" s="82" customFormat="1" ht="12.75">
      <c r="A40" s="89"/>
      <c r="B40" s="83">
        <v>39540.333333333336</v>
      </c>
      <c r="C40" s="83">
        <v>39545.6625</v>
      </c>
      <c r="D40" s="78">
        <f t="shared" si="6"/>
        <v>127.89999999990687</v>
      </c>
      <c r="E40" s="84" t="s">
        <v>78</v>
      </c>
      <c r="F40" s="85">
        <v>105383</v>
      </c>
      <c r="G40" s="86"/>
      <c r="H40" s="83">
        <v>39545.6625</v>
      </c>
      <c r="I40" s="83">
        <v>39545.67847222222</v>
      </c>
      <c r="J40" s="78">
        <f>(I40-H40)*24</f>
        <v>0.3833333333604969</v>
      </c>
      <c r="K40" s="78">
        <f>(I40-H40)*24</f>
        <v>0.3833333333604969</v>
      </c>
      <c r="L40" s="87" t="s">
        <v>38</v>
      </c>
      <c r="M40" s="87" t="s">
        <v>38</v>
      </c>
      <c r="N40" s="87" t="s">
        <v>38</v>
      </c>
      <c r="O40" s="88" t="s">
        <v>26</v>
      </c>
      <c r="P40" s="84"/>
      <c r="Q40" s="79">
        <f t="shared" si="0"/>
        <v>1</v>
      </c>
      <c r="R40" s="79">
        <f t="shared" si="1"/>
      </c>
      <c r="S40" s="79"/>
      <c r="T40" s="80">
        <f>SUM(Q40:S40)</f>
        <v>1</v>
      </c>
      <c r="U40" s="81"/>
      <c r="V40" s="81"/>
      <c r="W40" s="81"/>
    </row>
    <row r="41" spans="1:23" s="73" customFormat="1" ht="12.75">
      <c r="A41" s="120">
        <v>21</v>
      </c>
      <c r="B41" s="118">
        <v>39545.67847222222</v>
      </c>
      <c r="C41" s="118">
        <v>39546.333333333336</v>
      </c>
      <c r="D41" s="72">
        <f t="shared" si="6"/>
        <v>15.716666666732635</v>
      </c>
      <c r="E41" s="121" t="s">
        <v>68</v>
      </c>
      <c r="F41" s="122"/>
      <c r="G41" s="123"/>
      <c r="H41" s="118"/>
      <c r="I41" s="118"/>
      <c r="J41" s="72">
        <f>(I41-H41)*24</f>
        <v>0</v>
      </c>
      <c r="K41" s="72">
        <f>(I41-H41)*24</f>
        <v>0</v>
      </c>
      <c r="L41" s="124"/>
      <c r="M41" s="124"/>
      <c r="N41" s="124"/>
      <c r="O41" s="125" t="s">
        <v>24</v>
      </c>
      <c r="P41" s="121"/>
      <c r="Q41" s="79">
        <f t="shared" si="0"/>
      </c>
      <c r="R41" s="79">
        <f t="shared" si="1"/>
      </c>
      <c r="S41" s="79">
        <f>IF($O41="Inhibits beam to user",1,"")</f>
      </c>
      <c r="T41" s="80">
        <f t="shared" si="5"/>
        <v>0</v>
      </c>
      <c r="U41" s="3"/>
      <c r="V41" s="3"/>
      <c r="W41" s="3"/>
    </row>
    <row r="42" spans="1:23" s="73" customFormat="1" ht="12.75">
      <c r="A42" s="63"/>
      <c r="B42" s="64"/>
      <c r="C42" s="64"/>
      <c r="D42" s="65">
        <f>SUM(D35:D38,D40:D41)</f>
        <v>246.81666666653473</v>
      </c>
      <c r="E42" s="66"/>
      <c r="F42" s="67"/>
      <c r="G42" s="68"/>
      <c r="H42" s="64"/>
      <c r="I42" s="64"/>
      <c r="J42" s="65">
        <f>SUM(J35:J41)</f>
        <v>41.18333333346527</v>
      </c>
      <c r="K42" s="65">
        <f>SUM(K35:K41)</f>
        <v>41.18333333346527</v>
      </c>
      <c r="L42" s="69"/>
      <c r="M42" s="70"/>
      <c r="N42" s="70"/>
      <c r="O42" s="71"/>
      <c r="P42" s="66"/>
      <c r="Q42" s="79">
        <f t="shared" si="0"/>
      </c>
      <c r="R42" s="79">
        <f t="shared" si="1"/>
      </c>
      <c r="S42" s="79">
        <f>IF($O42="Inhibits beam to user",1,"")</f>
      </c>
      <c r="T42" s="80">
        <f t="shared" si="5"/>
        <v>0</v>
      </c>
      <c r="U42" s="3"/>
      <c r="V42" s="3"/>
      <c r="W42" s="3"/>
    </row>
    <row r="43" spans="1:23" s="73" customFormat="1" ht="12.75">
      <c r="A43" s="120">
        <v>22</v>
      </c>
      <c r="B43" s="118">
        <v>39547.333333333336</v>
      </c>
      <c r="C43" s="118">
        <v>39553.333333333336</v>
      </c>
      <c r="D43" s="72">
        <f>(C43-B43)*24</f>
        <v>144</v>
      </c>
      <c r="E43" s="121" t="s">
        <v>68</v>
      </c>
      <c r="F43" s="122"/>
      <c r="G43" s="123"/>
      <c r="H43" s="118"/>
      <c r="I43" s="118"/>
      <c r="J43" s="72">
        <f>(I43-H43)*24</f>
        <v>0</v>
      </c>
      <c r="K43" s="72">
        <f>(I43-H43)*24</f>
        <v>0</v>
      </c>
      <c r="L43" s="124"/>
      <c r="M43" s="124"/>
      <c r="N43" s="124"/>
      <c r="O43" s="125" t="s">
        <v>24</v>
      </c>
      <c r="P43" s="121"/>
      <c r="Q43" s="79">
        <f t="shared" si="0"/>
      </c>
      <c r="R43" s="79">
        <f t="shared" si="1"/>
      </c>
      <c r="S43" s="79">
        <f>IF($O43="Inhibits beam to user",1,"")</f>
      </c>
      <c r="T43" s="80">
        <f>SUM(Q43:S43)</f>
        <v>0</v>
      </c>
      <c r="U43" s="3"/>
      <c r="V43" s="3"/>
      <c r="W43" s="3"/>
    </row>
    <row r="44" spans="1:23" s="73" customFormat="1" ht="12.75">
      <c r="A44" s="63"/>
      <c r="B44" s="64"/>
      <c r="C44" s="64"/>
      <c r="D44" s="65">
        <f>SUM(D43:D43)</f>
        <v>144</v>
      </c>
      <c r="E44" s="66"/>
      <c r="F44" s="67"/>
      <c r="G44" s="68"/>
      <c r="H44" s="64"/>
      <c r="I44" s="64"/>
      <c r="J44" s="65">
        <f>SUM(J43:J43)</f>
        <v>0</v>
      </c>
      <c r="K44" s="65">
        <f>SUM(K43:K43)</f>
        <v>0</v>
      </c>
      <c r="L44" s="69"/>
      <c r="M44" s="70"/>
      <c r="N44" s="70"/>
      <c r="O44" s="71"/>
      <c r="P44" s="66"/>
      <c r="Q44" s="79">
        <f t="shared" si="0"/>
      </c>
      <c r="R44" s="79">
        <f t="shared" si="1"/>
      </c>
      <c r="S44" s="79">
        <f>IF($O44="Inhibits beam to user",1,"")</f>
      </c>
      <c r="T44" s="80">
        <f>SUM(Q44:S44)</f>
        <v>0</v>
      </c>
      <c r="U44" s="3"/>
      <c r="V44" s="3"/>
      <c r="W44" s="3"/>
    </row>
    <row r="45" spans="1:23" s="82" customFormat="1" ht="12.75">
      <c r="A45" s="89">
        <v>23</v>
      </c>
      <c r="B45" s="83">
        <v>39554.333333333336</v>
      </c>
      <c r="C45" s="83">
        <v>39559.32777777778</v>
      </c>
      <c r="D45" s="78">
        <f>(C45-B45)*24</f>
        <v>119.8666666665813</v>
      </c>
      <c r="E45" s="84" t="s">
        <v>90</v>
      </c>
      <c r="F45" s="85"/>
      <c r="G45" s="86"/>
      <c r="H45" s="83">
        <v>39559.32777777778</v>
      </c>
      <c r="I45" s="83">
        <v>39559.37430555555</v>
      </c>
      <c r="J45" s="78">
        <f>(I45-H45)*24</f>
        <v>1.116666666639503</v>
      </c>
      <c r="K45" s="78">
        <f>(I45-H45)*24</f>
        <v>1.116666666639503</v>
      </c>
      <c r="L45" s="87" t="s">
        <v>38</v>
      </c>
      <c r="M45" s="87" t="s">
        <v>38</v>
      </c>
      <c r="N45" s="87" t="s">
        <v>38</v>
      </c>
      <c r="O45" s="88" t="s">
        <v>26</v>
      </c>
      <c r="P45" s="84"/>
      <c r="Q45" s="79">
        <v>1</v>
      </c>
      <c r="R45" s="79">
        <f t="shared" si="1"/>
      </c>
      <c r="S45" s="79"/>
      <c r="T45" s="80">
        <f>SUM(Q45:S45)</f>
        <v>1</v>
      </c>
      <c r="U45" s="81"/>
      <c r="V45" s="81"/>
      <c r="W45" s="81"/>
    </row>
    <row r="46" spans="1:23" s="73" customFormat="1" ht="12.75">
      <c r="A46" s="120">
        <v>24</v>
      </c>
      <c r="B46" s="118">
        <v>39559.37430555555</v>
      </c>
      <c r="C46" s="118">
        <v>39562.333333333336</v>
      </c>
      <c r="D46" s="72">
        <f>(C46-B46)*24</f>
        <v>71.0166666667792</v>
      </c>
      <c r="E46" s="121" t="s">
        <v>68</v>
      </c>
      <c r="F46" s="122"/>
      <c r="G46" s="123"/>
      <c r="H46" s="118"/>
      <c r="I46" s="118"/>
      <c r="J46" s="72">
        <f>(I46-H46)*24</f>
        <v>0</v>
      </c>
      <c r="K46" s="72">
        <f>(I46-H46)*24</f>
        <v>0</v>
      </c>
      <c r="L46" s="124"/>
      <c r="M46" s="124"/>
      <c r="N46" s="124"/>
      <c r="O46" s="125" t="s">
        <v>24</v>
      </c>
      <c r="P46" s="121"/>
      <c r="Q46" s="79">
        <f t="shared" si="0"/>
      </c>
      <c r="R46" s="79">
        <f t="shared" si="1"/>
      </c>
      <c r="S46" s="79">
        <f>IF($O46="Inhibits beam to user",1,"")</f>
      </c>
      <c r="T46" s="80">
        <f>SUM(Q46:S46)</f>
        <v>0</v>
      </c>
      <c r="U46" s="3"/>
      <c r="V46" s="3"/>
      <c r="W46" s="3"/>
    </row>
    <row r="47" spans="1:23" s="73" customFormat="1" ht="12.75">
      <c r="A47" s="63"/>
      <c r="B47" s="64"/>
      <c r="C47" s="64"/>
      <c r="D47" s="65">
        <f>SUM(D45:D46)</f>
        <v>190.8833333333605</v>
      </c>
      <c r="E47" s="66"/>
      <c r="F47" s="67"/>
      <c r="G47" s="68"/>
      <c r="H47" s="64"/>
      <c r="I47" s="64"/>
      <c r="J47" s="65">
        <f>SUM(J45:J46)</f>
        <v>1.116666666639503</v>
      </c>
      <c r="K47" s="65">
        <f>SUM(K45:K46)</f>
        <v>1.116666666639503</v>
      </c>
      <c r="L47" s="69"/>
      <c r="M47" s="70"/>
      <c r="N47" s="70"/>
      <c r="O47" s="71"/>
      <c r="P47" s="66"/>
      <c r="Q47" s="79">
        <f t="shared" si="0"/>
      </c>
      <c r="R47" s="79">
        <f t="shared" si="1"/>
      </c>
      <c r="S47" s="79">
        <f>IF($O47="Inhibits beam to user",1,"")</f>
      </c>
      <c r="T47" s="80">
        <f>SUM(Q47:S47)</f>
        <v>0</v>
      </c>
      <c r="U47" s="3"/>
      <c r="V47" s="3"/>
      <c r="W47" s="3"/>
    </row>
    <row r="48" spans="1:18" ht="14.25" customHeight="1">
      <c r="A48" s="28"/>
      <c r="B48" s="15"/>
      <c r="C48" s="15"/>
      <c r="D48" s="74"/>
      <c r="E48" s="13"/>
      <c r="F48" s="49"/>
      <c r="G48" s="47"/>
      <c r="K48" s="19"/>
      <c r="Q48" s="79">
        <f t="shared" si="0"/>
      </c>
      <c r="R48" s="1">
        <f>IF($P49="Store Lost",1,"")</f>
      </c>
    </row>
    <row r="49" spans="1:18" ht="12.75">
      <c r="A49" s="28"/>
      <c r="B49" s="15"/>
      <c r="C49" s="15"/>
      <c r="D49" s="7"/>
      <c r="E49" s="13"/>
      <c r="F49" s="49"/>
      <c r="G49" s="47"/>
      <c r="K49" s="19"/>
      <c r="Q49" s="8"/>
      <c r="R49" s="1">
        <f>IF($P50="Store Lost",1,"")</f>
      </c>
    </row>
    <row r="50" spans="1:18" ht="12.75">
      <c r="A50" s="28"/>
      <c r="B50" s="15"/>
      <c r="C50" s="12" t="s">
        <v>15</v>
      </c>
      <c r="D50" s="39">
        <f>Q52</f>
        <v>13</v>
      </c>
      <c r="E50" s="13"/>
      <c r="F50" s="49"/>
      <c r="G50" s="47"/>
      <c r="H50" s="30"/>
      <c r="I50" s="30"/>
      <c r="J50" s="44" t="s">
        <v>8</v>
      </c>
      <c r="K50" s="53"/>
      <c r="L50" s="54"/>
      <c r="M50" s="55"/>
      <c r="N50" s="55"/>
      <c r="O50" s="62"/>
      <c r="P50" s="8"/>
      <c r="R50" s="1">
        <f>IF($L50="Scheduled",1,"")</f>
      </c>
    </row>
    <row r="51" spans="1:18" ht="12.75">
      <c r="A51" s="28"/>
      <c r="B51" s="15"/>
      <c r="C51" s="12" t="s">
        <v>18</v>
      </c>
      <c r="D51" s="39">
        <f>D52-D50</f>
        <v>11</v>
      </c>
      <c r="E51" s="13"/>
      <c r="F51" s="49"/>
      <c r="G51" s="47"/>
      <c r="H51" s="30"/>
      <c r="I51" s="30"/>
      <c r="J51" s="7" t="s">
        <v>9</v>
      </c>
      <c r="K51" s="33" t="s">
        <v>10</v>
      </c>
      <c r="L51" s="54"/>
      <c r="M51" s="55"/>
      <c r="N51" s="55"/>
      <c r="O51" s="62"/>
      <c r="P51" s="8"/>
      <c r="R51" s="1">
        <f>IF($L51="Scheduled",1,"")</f>
      </c>
    </row>
    <row r="52" spans="1:20" ht="13.5" thickBot="1">
      <c r="A52" s="28"/>
      <c r="B52" s="15"/>
      <c r="C52" s="12" t="s">
        <v>14</v>
      </c>
      <c r="D52" s="40">
        <f>COUNT(A6:A48)</f>
        <v>24</v>
      </c>
      <c r="E52" s="13"/>
      <c r="F52" s="49"/>
      <c r="G52" s="47"/>
      <c r="H52" s="30"/>
      <c r="I52" s="30"/>
      <c r="J52" s="24">
        <f>SUM(J6:J48)/2</f>
        <v>55.03333333320916</v>
      </c>
      <c r="K52" s="24">
        <f>SUM(K6:K48)/2</f>
        <v>55.03333333320916</v>
      </c>
      <c r="L52" s="54"/>
      <c r="M52" s="55"/>
      <c r="N52" s="55"/>
      <c r="O52" s="62"/>
      <c r="P52" s="8"/>
      <c r="Q52" s="40">
        <f>SUM(Q1:Q48)</f>
        <v>13</v>
      </c>
      <c r="R52" s="40">
        <f>SUM(R1:R48)</f>
        <v>0</v>
      </c>
      <c r="S52" s="40">
        <f>SUM(S1:S48)</f>
        <v>2</v>
      </c>
      <c r="T52" s="41">
        <f>SUM(Q52:S52)</f>
        <v>15</v>
      </c>
    </row>
    <row r="53" spans="1:19" ht="13.5" thickTop="1">
      <c r="A53" s="28"/>
      <c r="B53" s="15"/>
      <c r="C53" s="12"/>
      <c r="D53" s="7"/>
      <c r="E53" s="13"/>
      <c r="F53" s="49"/>
      <c r="G53" s="47"/>
      <c r="H53" s="30"/>
      <c r="I53" s="30"/>
      <c r="J53" s="7"/>
      <c r="K53" s="32"/>
      <c r="L53" s="54"/>
      <c r="M53" s="55"/>
      <c r="N53" s="55"/>
      <c r="O53" s="54"/>
      <c r="P53" s="8"/>
      <c r="Q53" s="1" t="s">
        <v>27</v>
      </c>
      <c r="R53" s="2" t="s">
        <v>24</v>
      </c>
      <c r="S53" s="1" t="s">
        <v>28</v>
      </c>
    </row>
    <row r="54" spans="1:29" ht="12.75">
      <c r="A54" s="28"/>
      <c r="B54" s="15"/>
      <c r="C54" s="12" t="s">
        <v>11</v>
      </c>
      <c r="D54" s="7">
        <f>SUM(D6:D38,D40:D48)/2</f>
        <v>1671.9666666667908</v>
      </c>
      <c r="E54" s="17">
        <f>D54/24</f>
        <v>69.66527777778295</v>
      </c>
      <c r="F54" s="51" t="s">
        <v>35</v>
      </c>
      <c r="G54" s="47"/>
      <c r="H54" s="30"/>
      <c r="I54" s="30"/>
      <c r="J54" s="7"/>
      <c r="K54" s="32"/>
      <c r="L54" s="54"/>
      <c r="M54" s="55"/>
      <c r="N54" s="55"/>
      <c r="O54" s="54"/>
      <c r="P54" s="8"/>
      <c r="Q54" s="1">
        <f>IF($O56="Store Lost",1,"")</f>
      </c>
      <c r="T54" s="41"/>
      <c r="AA54" s="3"/>
      <c r="AB54" s="3"/>
      <c r="AC54" s="3"/>
    </row>
    <row r="55" spans="1:17" ht="12.75">
      <c r="A55" s="28"/>
      <c r="B55" s="15"/>
      <c r="C55" s="12" t="s">
        <v>12</v>
      </c>
      <c r="D55" s="7">
        <f>J52</f>
        <v>55.03333333320916</v>
      </c>
      <c r="E55" s="13" t="s">
        <v>31</v>
      </c>
      <c r="F55" s="49"/>
      <c r="G55" s="47"/>
      <c r="H55" s="30"/>
      <c r="I55" s="30"/>
      <c r="J55" s="7"/>
      <c r="K55" s="32"/>
      <c r="L55" s="54"/>
      <c r="M55" s="55"/>
      <c r="N55" s="55"/>
      <c r="O55" s="54"/>
      <c r="P55" s="8"/>
      <c r="Q55" s="1">
        <f>IF($O57="Store Lost",1,"")</f>
      </c>
    </row>
    <row r="56" spans="1:26" ht="13.5" thickBot="1">
      <c r="A56" s="28"/>
      <c r="B56" s="15"/>
      <c r="C56" s="12" t="s">
        <v>13</v>
      </c>
      <c r="D56" s="40">
        <f>SUM(D54:D55)</f>
        <v>1727</v>
      </c>
      <c r="E56" s="17"/>
      <c r="F56" s="49"/>
      <c r="G56" s="47"/>
      <c r="H56" s="30"/>
      <c r="I56" s="30"/>
      <c r="J56" s="7"/>
      <c r="K56" s="32"/>
      <c r="L56" s="54"/>
      <c r="M56" s="55"/>
      <c r="N56" s="55"/>
      <c r="O56" s="54"/>
      <c r="P56" s="8"/>
      <c r="Q56" s="1">
        <f>IF($O58="Store Lost",1,"")</f>
      </c>
      <c r="U56" s="3"/>
      <c r="V56" s="3"/>
      <c r="W56" s="3"/>
      <c r="X56" s="3"/>
      <c r="Y56" s="3"/>
      <c r="Z56" s="3"/>
    </row>
    <row r="57" spans="1:18" ht="13.5" thickTop="1">
      <c r="A57" s="28"/>
      <c r="B57" s="15"/>
      <c r="C57" s="12"/>
      <c r="D57" s="25"/>
      <c r="E57" s="46"/>
      <c r="F57" s="49"/>
      <c r="G57" s="47"/>
      <c r="H57" s="7"/>
      <c r="I57" s="30"/>
      <c r="J57" s="7"/>
      <c r="K57" s="32"/>
      <c r="L57" s="54"/>
      <c r="M57" s="55"/>
      <c r="N57" s="55"/>
      <c r="O57" s="54"/>
      <c r="P57" s="8"/>
      <c r="Q57" s="42">
        <f>Q52+R52</f>
        <v>13</v>
      </c>
      <c r="R57" s="1">
        <f aca="true" t="shared" si="7" ref="R57:R71">IF($P59="Store Lost",1,"")</f>
      </c>
    </row>
    <row r="58" spans="1:20" ht="12.75">
      <c r="A58" s="28"/>
      <c r="B58" s="15"/>
      <c r="C58" s="12"/>
      <c r="D58" s="25"/>
      <c r="E58" s="13"/>
      <c r="F58" s="49"/>
      <c r="G58" s="47"/>
      <c r="H58" s="30"/>
      <c r="I58" s="30"/>
      <c r="J58" s="7"/>
      <c r="K58" s="32"/>
      <c r="L58" s="54"/>
      <c r="M58" s="55"/>
      <c r="N58" s="55"/>
      <c r="O58" s="54"/>
      <c r="P58" s="8"/>
      <c r="Q58" s="8"/>
      <c r="R58" s="1">
        <f t="shared" si="7"/>
      </c>
      <c r="S58" s="3"/>
      <c r="T58" s="3"/>
    </row>
    <row r="59" spans="1:18" ht="12.75">
      <c r="A59" s="28"/>
      <c r="B59" s="15"/>
      <c r="C59" s="12" t="s">
        <v>29</v>
      </c>
      <c r="D59" s="26">
        <f>IF(D50,D54/D50,D54)</f>
        <v>128.61282051283007</v>
      </c>
      <c r="E59" s="13"/>
      <c r="F59" s="49"/>
      <c r="G59" s="47"/>
      <c r="J59" s="31"/>
      <c r="K59" s="19"/>
      <c r="Q59" s="8"/>
      <c r="R59" s="1">
        <f t="shared" si="7"/>
      </c>
    </row>
    <row r="60" spans="1:18" ht="12.75">
      <c r="A60" s="28"/>
      <c r="B60" s="15"/>
      <c r="C60" s="12" t="s">
        <v>16</v>
      </c>
      <c r="D60" s="25">
        <f>IF(D50,24/D59,0)</f>
        <v>0.18660659104047736</v>
      </c>
      <c r="E60" s="75"/>
      <c r="F60" s="77"/>
      <c r="G60" s="76"/>
      <c r="K60" s="19"/>
      <c r="Q60" s="8"/>
      <c r="R60" s="1" t="e">
        <f>IF(#REF!="Store Lost",1,"")</f>
        <v>#REF!</v>
      </c>
    </row>
    <row r="61" spans="1:18" ht="12.75">
      <c r="A61" s="28"/>
      <c r="B61" s="15"/>
      <c r="C61" s="12" t="s">
        <v>17</v>
      </c>
      <c r="D61" s="35">
        <f>D54/D56</f>
        <v>0.9681335649489234</v>
      </c>
      <c r="E61" s="20"/>
      <c r="F61" s="49"/>
      <c r="G61" s="47"/>
      <c r="K61" s="19"/>
      <c r="Q61" s="8"/>
      <c r="R61" s="1" t="e">
        <f>IF(#REF!="Store Lost",1,"")</f>
        <v>#REF!</v>
      </c>
    </row>
    <row r="62" spans="1:18" ht="12.75">
      <c r="A62" s="28"/>
      <c r="B62" s="15"/>
      <c r="C62" s="15"/>
      <c r="D62" s="7"/>
      <c r="E62" s="13"/>
      <c r="F62" s="49"/>
      <c r="G62" s="47"/>
      <c r="K62" s="19"/>
      <c r="Q62" s="8"/>
      <c r="R62" s="1">
        <f t="shared" si="7"/>
      </c>
    </row>
    <row r="63" spans="1:18" ht="12.75">
      <c r="A63" s="28"/>
      <c r="B63" s="15"/>
      <c r="C63" s="15"/>
      <c r="D63" s="7"/>
      <c r="E63" s="13"/>
      <c r="F63" s="49"/>
      <c r="G63" s="47"/>
      <c r="K63" s="19"/>
      <c r="Q63" s="8"/>
      <c r="R63" s="1">
        <f t="shared" si="7"/>
      </c>
    </row>
    <row r="64" spans="1:18" ht="12.75">
      <c r="A64" s="28"/>
      <c r="B64" s="15"/>
      <c r="C64" s="15"/>
      <c r="D64" s="7"/>
      <c r="E64" s="13"/>
      <c r="F64" s="49"/>
      <c r="G64" s="47"/>
      <c r="K64" s="19"/>
      <c r="Q64" s="8"/>
      <c r="R64" s="1">
        <f t="shared" si="7"/>
      </c>
    </row>
    <row r="65" spans="1:29" s="5" customFormat="1" ht="13.5" thickBot="1">
      <c r="A65" s="28"/>
      <c r="B65" s="15"/>
      <c r="C65" s="15"/>
      <c r="D65" s="7"/>
      <c r="E65" s="13"/>
      <c r="F65" s="49"/>
      <c r="G65" s="47"/>
      <c r="H65" s="31"/>
      <c r="I65" s="31"/>
      <c r="J65" s="21"/>
      <c r="K65" s="19"/>
      <c r="L65" s="60"/>
      <c r="M65" s="61"/>
      <c r="N65" s="61"/>
      <c r="O65" s="60"/>
      <c r="P65" s="9"/>
      <c r="Q65" s="8"/>
      <c r="R65" s="1">
        <f t="shared" si="7"/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18" ht="12.75">
      <c r="A66" s="28"/>
      <c r="B66" s="15"/>
      <c r="C66" s="15"/>
      <c r="D66" s="7"/>
      <c r="E66" s="13"/>
      <c r="F66" s="49"/>
      <c r="G66" s="47"/>
      <c r="K66" s="19"/>
      <c r="Q66" s="8"/>
      <c r="R66" s="1">
        <f t="shared" si="7"/>
      </c>
    </row>
    <row r="67" spans="1:18" ht="12.75">
      <c r="A67" s="28"/>
      <c r="B67" s="15"/>
      <c r="C67" s="15"/>
      <c r="D67" s="7"/>
      <c r="E67" s="13"/>
      <c r="F67" s="49"/>
      <c r="G67" s="47"/>
      <c r="K67" s="19"/>
      <c r="Q67" s="8"/>
      <c r="R67" s="1">
        <f t="shared" si="7"/>
      </c>
    </row>
    <row r="68" spans="1:18" ht="12.75">
      <c r="A68" s="28"/>
      <c r="B68" s="15"/>
      <c r="C68" s="15"/>
      <c r="D68" s="7"/>
      <c r="E68" s="13"/>
      <c r="F68" s="49"/>
      <c r="G68" s="47"/>
      <c r="K68" s="19"/>
      <c r="Q68" s="8"/>
      <c r="R68" s="1">
        <f t="shared" si="7"/>
      </c>
    </row>
    <row r="69" spans="1:18" ht="12.75">
      <c r="A69" s="28"/>
      <c r="B69" s="15"/>
      <c r="C69" s="15"/>
      <c r="D69" s="7"/>
      <c r="E69" s="13"/>
      <c r="F69" s="49"/>
      <c r="G69" s="47"/>
      <c r="K69" s="19"/>
      <c r="Q69" s="8"/>
      <c r="R69" s="1">
        <f t="shared" si="7"/>
      </c>
    </row>
    <row r="70" spans="1:18" ht="12.75">
      <c r="A70" s="28"/>
      <c r="B70" s="15"/>
      <c r="C70" s="15"/>
      <c r="D70" s="7"/>
      <c r="E70" s="13"/>
      <c r="F70" s="49"/>
      <c r="G70" s="47"/>
      <c r="K70" s="19"/>
      <c r="Q70" s="8"/>
      <c r="R70" s="1">
        <f t="shared" si="7"/>
      </c>
    </row>
    <row r="71" spans="1:18" ht="12.75">
      <c r="A71" s="28"/>
      <c r="B71" s="15"/>
      <c r="C71" s="15"/>
      <c r="D71" s="7"/>
      <c r="E71" s="13"/>
      <c r="F71" s="49"/>
      <c r="G71" s="47"/>
      <c r="K71" s="19"/>
      <c r="Q71" s="8"/>
      <c r="R71" s="1">
        <f t="shared" si="7"/>
      </c>
    </row>
    <row r="72" spans="1:11" ht="12.75">
      <c r="A72" s="28"/>
      <c r="B72" s="15"/>
      <c r="C72" s="15"/>
      <c r="D72" s="7"/>
      <c r="E72" s="13"/>
      <c r="F72" s="49"/>
      <c r="G72" s="47"/>
      <c r="K72" s="19"/>
    </row>
    <row r="73" spans="1:11" ht="12.75">
      <c r="A73" s="28"/>
      <c r="B73" s="15"/>
      <c r="C73" s="15"/>
      <c r="D73" s="7"/>
      <c r="E73" s="13"/>
      <c r="F73" s="49"/>
      <c r="G73" s="47"/>
      <c r="K73" s="19"/>
    </row>
    <row r="74" spans="1:29" s="4" customFormat="1" ht="13.5" thickBot="1">
      <c r="A74" s="28"/>
      <c r="B74" s="15"/>
      <c r="C74" s="15"/>
      <c r="D74" s="7"/>
      <c r="E74" s="13"/>
      <c r="F74" s="49"/>
      <c r="G74" s="47"/>
      <c r="H74" s="30"/>
      <c r="I74" s="30"/>
      <c r="J74" s="7"/>
      <c r="K74" s="32"/>
      <c r="L74" s="54"/>
      <c r="M74" s="55"/>
      <c r="N74" s="55"/>
      <c r="O74" s="54"/>
      <c r="P74" s="8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s="3" customFormat="1" ht="14.25" thickBot="1" thickTop="1">
      <c r="A75" s="28"/>
      <c r="B75" s="15"/>
      <c r="C75" s="15"/>
      <c r="D75" s="21"/>
      <c r="E75" s="13"/>
      <c r="F75" s="49"/>
      <c r="G75" s="47"/>
      <c r="H75" s="30"/>
      <c r="I75" s="30"/>
      <c r="J75" s="21"/>
      <c r="K75" s="34"/>
      <c r="L75" s="54"/>
      <c r="M75" s="55"/>
      <c r="N75" s="55"/>
      <c r="O75" s="54"/>
      <c r="P75" s="8"/>
      <c r="Q75" s="1"/>
      <c r="R75" s="1"/>
      <c r="S75" s="1"/>
      <c r="T75" s="1"/>
      <c r="U75" s="1"/>
      <c r="V75" s="1"/>
      <c r="W75" s="1"/>
      <c r="X75" s="1"/>
      <c r="Y75" s="1"/>
      <c r="Z75" s="1"/>
      <c r="AA75" s="5"/>
      <c r="AB75" s="5"/>
      <c r="AC75" s="5"/>
    </row>
    <row r="76" spans="1:16" ht="12.75">
      <c r="A76" s="28"/>
      <c r="B76" s="15"/>
      <c r="C76" s="15"/>
      <c r="E76" s="13"/>
      <c r="F76" s="49"/>
      <c r="G76" s="47"/>
      <c r="H76" s="30"/>
      <c r="I76" s="30"/>
      <c r="L76" s="54"/>
      <c r="M76" s="55"/>
      <c r="N76" s="55"/>
      <c r="O76" s="54"/>
      <c r="P76" s="8"/>
    </row>
    <row r="77" spans="1:26" ht="13.5" thickBot="1">
      <c r="A77" s="28"/>
      <c r="B77" s="15"/>
      <c r="C77" s="15"/>
      <c r="E77" s="13"/>
      <c r="F77" s="49"/>
      <c r="G77" s="47"/>
      <c r="H77" s="30"/>
      <c r="I77" s="30"/>
      <c r="L77" s="54"/>
      <c r="M77" s="55"/>
      <c r="N77" s="55"/>
      <c r="O77" s="54"/>
      <c r="P77" s="8"/>
      <c r="U77" s="5"/>
      <c r="V77" s="5"/>
      <c r="W77" s="5"/>
      <c r="X77" s="5"/>
      <c r="Y77" s="5"/>
      <c r="Z77" s="5"/>
    </row>
    <row r="78" spans="1:16" ht="12.75">
      <c r="A78" s="28"/>
      <c r="B78" s="15"/>
      <c r="C78" s="15"/>
      <c r="F78" s="49"/>
      <c r="G78" s="47"/>
      <c r="H78" s="30"/>
      <c r="I78" s="30"/>
      <c r="L78" s="54"/>
      <c r="M78" s="55"/>
      <c r="N78" s="55"/>
      <c r="O78" s="54"/>
      <c r="P78" s="8"/>
    </row>
    <row r="79" spans="2:20" ht="13.5" thickBot="1">
      <c r="B79" s="15"/>
      <c r="C79" s="15"/>
      <c r="F79" s="49"/>
      <c r="G79" s="47"/>
      <c r="H79" s="30"/>
      <c r="I79" s="30"/>
      <c r="L79" s="54"/>
      <c r="M79" s="55"/>
      <c r="N79" s="55"/>
      <c r="O79" s="54"/>
      <c r="P79" s="8"/>
      <c r="R79" s="5"/>
      <c r="S79" s="5"/>
      <c r="T79" s="5"/>
    </row>
    <row r="80" spans="2:16" ht="12.75">
      <c r="B80" s="15"/>
      <c r="C80" s="15"/>
      <c r="F80" s="49"/>
      <c r="G80" s="47"/>
      <c r="H80" s="30"/>
      <c r="I80" s="30"/>
      <c r="L80" s="54"/>
      <c r="M80" s="55"/>
      <c r="N80" s="55"/>
      <c r="O80" s="54"/>
      <c r="P80" s="8"/>
    </row>
    <row r="81" spans="2:17" ht="12.75">
      <c r="B81" s="15"/>
      <c r="C81" s="15"/>
      <c r="F81" s="49"/>
      <c r="G81" s="47"/>
      <c r="H81" s="30"/>
      <c r="I81" s="30"/>
      <c r="L81" s="54"/>
      <c r="M81" s="55"/>
      <c r="N81" s="55"/>
      <c r="O81" s="54"/>
      <c r="P81" s="8"/>
      <c r="Q81" s="1">
        <f aca="true" t="shared" si="8" ref="Q81:Q138">IF($O83="Store Lost",1,"")</f>
      </c>
    </row>
    <row r="82" spans="2:17" ht="12.75">
      <c r="B82" s="15"/>
      <c r="C82" s="15"/>
      <c r="F82" s="49"/>
      <c r="G82" s="47"/>
      <c r="H82" s="30"/>
      <c r="I82" s="30"/>
      <c r="L82" s="54"/>
      <c r="M82" s="55"/>
      <c r="N82" s="55"/>
      <c r="O82" s="54"/>
      <c r="P82" s="8"/>
      <c r="Q82" s="1">
        <f t="shared" si="8"/>
      </c>
    </row>
    <row r="83" spans="2:17" ht="12.75">
      <c r="B83" s="15"/>
      <c r="C83" s="15"/>
      <c r="Q83" s="1">
        <f t="shared" si="8"/>
      </c>
    </row>
    <row r="84" spans="17:29" ht="13.5" thickBot="1">
      <c r="Q84" s="1">
        <f t="shared" si="8"/>
      </c>
      <c r="AA84" s="4"/>
      <c r="AB84" s="4"/>
      <c r="AC84" s="4"/>
    </row>
    <row r="85" spans="17:29" ht="13.5" thickTop="1">
      <c r="Q85" s="1">
        <f t="shared" si="8"/>
      </c>
      <c r="AA85" s="3"/>
      <c r="AB85" s="3"/>
      <c r="AC85" s="3"/>
    </row>
    <row r="86" spans="17:26" ht="13.5" thickBot="1">
      <c r="Q86" s="1">
        <f t="shared" si="8"/>
      </c>
      <c r="U86" s="4"/>
      <c r="V86" s="4"/>
      <c r="W86" s="4"/>
      <c r="X86" s="4"/>
      <c r="Y86" s="4"/>
      <c r="Z86" s="4"/>
    </row>
    <row r="87" spans="17:26" ht="13.5" thickTop="1">
      <c r="Q87" s="1">
        <f t="shared" si="8"/>
      </c>
      <c r="U87" s="3"/>
      <c r="V87" s="3"/>
      <c r="W87" s="3"/>
      <c r="X87" s="3"/>
      <c r="Y87" s="3"/>
      <c r="Z87" s="3"/>
    </row>
    <row r="88" spans="1:29" s="5" customFormat="1" ht="13.5" thickBot="1">
      <c r="A88" s="29"/>
      <c r="B88" s="18"/>
      <c r="C88" s="18"/>
      <c r="D88" s="21"/>
      <c r="E88" s="22"/>
      <c r="F88" s="50"/>
      <c r="G88" s="48"/>
      <c r="H88" s="31"/>
      <c r="I88" s="31"/>
      <c r="J88" s="21"/>
      <c r="K88" s="34"/>
      <c r="L88" s="60"/>
      <c r="M88" s="61"/>
      <c r="N88" s="61"/>
      <c r="O88" s="60"/>
      <c r="P88" s="9"/>
      <c r="Q88" s="1">
        <f t="shared" si="8"/>
      </c>
      <c r="R88" s="4"/>
      <c r="S88" s="4"/>
      <c r="T88" s="4"/>
      <c r="U88" s="1"/>
      <c r="V88" s="1"/>
      <c r="W88" s="1"/>
      <c r="X88" s="1"/>
      <c r="Y88" s="1"/>
      <c r="Z88" s="1"/>
      <c r="AA88" s="1"/>
      <c r="AB88" s="1"/>
      <c r="AC88" s="1"/>
    </row>
    <row r="89" spans="17:20" ht="13.5" thickTop="1">
      <c r="Q89" s="1">
        <f t="shared" si="8"/>
      </c>
      <c r="R89" s="3"/>
      <c r="S89" s="3"/>
      <c r="T89" s="3"/>
    </row>
    <row r="90" ht="12.75">
      <c r="Q90" s="1">
        <f t="shared" si="8"/>
      </c>
    </row>
    <row r="91" ht="12.75">
      <c r="Q91" s="1">
        <f t="shared" si="8"/>
      </c>
    </row>
    <row r="92" ht="12.75">
      <c r="Q92" s="1">
        <f t="shared" si="8"/>
      </c>
    </row>
    <row r="93" ht="12.75">
      <c r="Q93" s="1">
        <f t="shared" si="8"/>
      </c>
    </row>
    <row r="94" ht="12.75">
      <c r="Q94" s="1">
        <f t="shared" si="8"/>
      </c>
    </row>
    <row r="95" ht="12.75">
      <c r="Q95" s="1">
        <f t="shared" si="8"/>
      </c>
    </row>
    <row r="96" ht="12.75">
      <c r="Q96" s="1">
        <f t="shared" si="8"/>
      </c>
    </row>
    <row r="97" ht="12.75">
      <c r="Q97" s="1">
        <f t="shared" si="8"/>
      </c>
    </row>
    <row r="98" spans="17:29" ht="13.5" thickBot="1">
      <c r="Q98" s="1">
        <f t="shared" si="8"/>
      </c>
      <c r="AA98" s="5"/>
      <c r="AB98" s="5"/>
      <c r="AC98" s="5"/>
    </row>
    <row r="99" ht="12.75">
      <c r="Q99" s="1">
        <f t="shared" si="8"/>
      </c>
    </row>
    <row r="100" spans="17:26" ht="13.5" thickBot="1">
      <c r="Q100" s="1">
        <f t="shared" si="8"/>
      </c>
      <c r="U100" s="5"/>
      <c r="V100" s="5"/>
      <c r="W100" s="5"/>
      <c r="X100" s="5"/>
      <c r="Y100" s="5"/>
      <c r="Z100" s="5"/>
    </row>
    <row r="101" spans="1:29" s="5" customFormat="1" ht="13.5" thickBot="1">
      <c r="A101" s="29"/>
      <c r="B101" s="18"/>
      <c r="C101" s="18"/>
      <c r="D101" s="21"/>
      <c r="E101" s="22"/>
      <c r="F101" s="50"/>
      <c r="G101" s="48"/>
      <c r="H101" s="31"/>
      <c r="I101" s="31"/>
      <c r="J101" s="21"/>
      <c r="K101" s="34"/>
      <c r="L101" s="60"/>
      <c r="M101" s="61"/>
      <c r="N101" s="61"/>
      <c r="O101" s="60"/>
      <c r="P101" s="9"/>
      <c r="Q101" s="1">
        <f t="shared" si="8"/>
      </c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s="3" customFormat="1" ht="13.5" thickBot="1">
      <c r="A102" s="29"/>
      <c r="B102" s="18"/>
      <c r="C102" s="18"/>
      <c r="D102" s="21"/>
      <c r="E102" s="22"/>
      <c r="F102" s="50"/>
      <c r="G102" s="48"/>
      <c r="H102" s="31"/>
      <c r="I102" s="31"/>
      <c r="J102" s="21"/>
      <c r="K102" s="34"/>
      <c r="L102" s="60"/>
      <c r="M102" s="61"/>
      <c r="N102" s="61"/>
      <c r="O102" s="60"/>
      <c r="P102" s="9"/>
      <c r="Q102" s="1">
        <f t="shared" si="8"/>
      </c>
      <c r="R102" s="5"/>
      <c r="S102" s="5"/>
      <c r="T102" s="5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s="5" customFormat="1" ht="13.5" thickBot="1">
      <c r="A103" s="29"/>
      <c r="B103" s="18"/>
      <c r="C103" s="18"/>
      <c r="D103" s="21"/>
      <c r="E103" s="22"/>
      <c r="F103" s="50"/>
      <c r="G103" s="48"/>
      <c r="H103" s="31"/>
      <c r="I103" s="31"/>
      <c r="J103" s="21"/>
      <c r="K103" s="34"/>
      <c r="L103" s="60"/>
      <c r="M103" s="61"/>
      <c r="N103" s="61"/>
      <c r="O103" s="60"/>
      <c r="P103" s="9"/>
      <c r="Q103" s="1">
        <f t="shared" si="8"/>
      </c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ht="12.75">
      <c r="Q104" s="1">
        <f t="shared" si="8"/>
      </c>
    </row>
    <row r="105" ht="12.75">
      <c r="Q105" s="1">
        <f t="shared" si="8"/>
      </c>
    </row>
    <row r="106" ht="12.75">
      <c r="Q106" s="1">
        <f t="shared" si="8"/>
      </c>
    </row>
    <row r="107" ht="12.75">
      <c r="Q107" s="1">
        <f t="shared" si="8"/>
      </c>
    </row>
    <row r="108" ht="12.75">
      <c r="Q108" s="1">
        <f t="shared" si="8"/>
      </c>
    </row>
    <row r="109" ht="12.75">
      <c r="Q109" s="1">
        <f t="shared" si="8"/>
      </c>
    </row>
    <row r="110" ht="12.75">
      <c r="Q110" s="1">
        <f t="shared" si="8"/>
      </c>
    </row>
    <row r="111" spans="17:29" ht="13.5" thickBot="1">
      <c r="Q111" s="1">
        <f t="shared" si="8"/>
      </c>
      <c r="AA111" s="5"/>
      <c r="AB111" s="5"/>
      <c r="AC111" s="5"/>
    </row>
    <row r="112" spans="17:29" ht="12.75">
      <c r="Q112" s="1">
        <f t="shared" si="8"/>
      </c>
      <c r="AA112" s="3"/>
      <c r="AB112" s="3"/>
      <c r="AC112" s="3"/>
    </row>
    <row r="113" spans="17:29" ht="13.5" thickBot="1">
      <c r="Q113" s="1">
        <f t="shared" si="8"/>
      </c>
      <c r="U113" s="5"/>
      <c r="V113" s="5"/>
      <c r="W113" s="5"/>
      <c r="X113" s="5"/>
      <c r="Y113" s="5"/>
      <c r="Z113" s="5"/>
      <c r="AA113" s="5"/>
      <c r="AB113" s="5"/>
      <c r="AC113" s="5"/>
    </row>
    <row r="114" spans="17:26" ht="12.75">
      <c r="Q114" s="1">
        <f t="shared" si="8"/>
      </c>
      <c r="U114" s="3"/>
      <c r="V114" s="3"/>
      <c r="W114" s="3"/>
      <c r="X114" s="3"/>
      <c r="Y114" s="3"/>
      <c r="Z114" s="3"/>
    </row>
    <row r="115" spans="17:26" ht="13.5" thickBot="1">
      <c r="Q115" s="1">
        <f t="shared" si="8"/>
      </c>
      <c r="R115" s="5"/>
      <c r="S115" s="5"/>
      <c r="T115" s="5"/>
      <c r="U115" s="5"/>
      <c r="V115" s="5"/>
      <c r="W115" s="5"/>
      <c r="X115" s="5"/>
      <c r="Y115" s="5"/>
      <c r="Z115" s="5"/>
    </row>
    <row r="116" spans="17:20" ht="12.75">
      <c r="Q116" s="1">
        <f t="shared" si="8"/>
      </c>
      <c r="R116" s="3"/>
      <c r="S116" s="3"/>
      <c r="T116" s="3"/>
    </row>
    <row r="117" spans="17:20" ht="13.5" thickBot="1">
      <c r="Q117" s="1">
        <f t="shared" si="8"/>
      </c>
      <c r="R117" s="5"/>
      <c r="S117" s="5"/>
      <c r="T117" s="5"/>
    </row>
    <row r="118" ht="12.75">
      <c r="Q118" s="1">
        <f t="shared" si="8"/>
      </c>
    </row>
    <row r="119" ht="12.75">
      <c r="Q119" s="1">
        <f t="shared" si="8"/>
      </c>
    </row>
    <row r="120" ht="12.75">
      <c r="Q120" s="1">
        <f t="shared" si="8"/>
      </c>
    </row>
    <row r="121" ht="12.75">
      <c r="Q121" s="1">
        <f t="shared" si="8"/>
      </c>
    </row>
    <row r="122" ht="12.75">
      <c r="Q122" s="1">
        <f t="shared" si="8"/>
      </c>
    </row>
    <row r="123" ht="12.75">
      <c r="Q123" s="1">
        <f t="shared" si="8"/>
      </c>
    </row>
    <row r="124" spans="1:29" s="5" customFormat="1" ht="13.5" thickBot="1">
      <c r="A124" s="29"/>
      <c r="B124" s="18"/>
      <c r="C124" s="18"/>
      <c r="D124" s="21"/>
      <c r="E124" s="22"/>
      <c r="F124" s="50"/>
      <c r="G124" s="48"/>
      <c r="H124" s="31"/>
      <c r="I124" s="31"/>
      <c r="J124" s="21"/>
      <c r="K124" s="34"/>
      <c r="L124" s="60"/>
      <c r="M124" s="61"/>
      <c r="N124" s="61"/>
      <c r="O124" s="60"/>
      <c r="P124" s="9"/>
      <c r="Q124" s="1">
        <f t="shared" si="8"/>
      </c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ht="12.75">
      <c r="Q125" s="1">
        <f t="shared" si="8"/>
      </c>
    </row>
    <row r="126" ht="12.75">
      <c r="Q126" s="1">
        <f t="shared" si="8"/>
      </c>
    </row>
    <row r="127" ht="12.75">
      <c r="Q127" s="1">
        <f t="shared" si="8"/>
      </c>
    </row>
    <row r="128" ht="12.75">
      <c r="Q128" s="1">
        <f t="shared" si="8"/>
      </c>
    </row>
    <row r="129" ht="12.75">
      <c r="Q129" s="1">
        <f t="shared" si="8"/>
      </c>
    </row>
    <row r="130" ht="12.75">
      <c r="Q130" s="1">
        <f t="shared" si="8"/>
      </c>
    </row>
    <row r="131" ht="12.75">
      <c r="Q131" s="1">
        <f t="shared" si="8"/>
      </c>
    </row>
    <row r="132" ht="12.75">
      <c r="Q132" s="1">
        <f t="shared" si="8"/>
      </c>
    </row>
    <row r="133" ht="12.75">
      <c r="Q133" s="1">
        <f t="shared" si="8"/>
      </c>
    </row>
    <row r="134" spans="17:29" ht="13.5" thickBot="1">
      <c r="Q134" s="1">
        <f t="shared" si="8"/>
      </c>
      <c r="AA134" s="5"/>
      <c r="AB134" s="5"/>
      <c r="AC134" s="5"/>
    </row>
    <row r="135" ht="12.75">
      <c r="Q135" s="1">
        <f t="shared" si="8"/>
      </c>
    </row>
    <row r="136" spans="17:26" ht="13.5" thickBot="1">
      <c r="Q136" s="1">
        <f t="shared" si="8"/>
      </c>
      <c r="U136" s="5"/>
      <c r="V136" s="5"/>
      <c r="W136" s="5"/>
      <c r="X136" s="5"/>
      <c r="Y136" s="5"/>
      <c r="Z136" s="5"/>
    </row>
    <row r="137" ht="12.75">
      <c r="Q137" s="1">
        <f t="shared" si="8"/>
      </c>
    </row>
    <row r="138" spans="17:20" ht="13.5" thickBot="1">
      <c r="Q138" s="1">
        <f t="shared" si="8"/>
      </c>
      <c r="R138" s="5"/>
      <c r="S138" s="5"/>
      <c r="T138" s="5"/>
    </row>
    <row r="142" ht="12.75">
      <c r="Q142" s="1">
        <f>COUNT(Q48:Q138)</f>
        <v>2</v>
      </c>
    </row>
  </sheetData>
  <mergeCells count="1">
    <mergeCell ref="A2:I2"/>
  </mergeCells>
  <printOptions/>
  <pageMargins left="0" right="0" top="0" bottom="0.03" header="0.19" footer="0.15"/>
  <pageSetup fitToHeight="0" fitToWidth="1" horizontalDpi="600" verticalDpi="600" orientation="landscape" paperSize="5" scale="53" r:id="rId2"/>
  <headerFooter alignWithMargins="0">
    <oddFooter>&amp;RUpdated &amp;D</oddFooter>
  </headerFooter>
  <rowBreaks count="1" manualBreakCount="1">
    <brk id="80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30"/>
  <sheetViews>
    <sheetView workbookViewId="0" topLeftCell="A3">
      <selection activeCell="A4" sqref="A4"/>
    </sheetView>
  </sheetViews>
  <sheetFormatPr defaultColWidth="9.140625" defaultRowHeight="12.75"/>
  <cols>
    <col min="1" max="1" width="20.421875" style="0" customWidth="1"/>
    <col min="8" max="8" width="10.28125" style="0" customWidth="1"/>
    <col min="9" max="9" width="10.57421875" style="0" customWidth="1"/>
    <col min="10" max="10" width="8.28125" style="0" customWidth="1"/>
    <col min="11" max="11" width="10.57421875" style="0" customWidth="1"/>
    <col min="12" max="14" width="8.28125" style="0" customWidth="1"/>
    <col min="15" max="15" width="12.421875" style="0" customWidth="1"/>
    <col min="16" max="16" width="9.8515625" style="0" customWidth="1"/>
    <col min="17" max="17" width="9.421875" style="0" customWidth="1"/>
    <col min="18" max="18" width="6.421875" style="0" customWidth="1"/>
    <col min="19" max="19" width="9.421875" style="0" customWidth="1"/>
    <col min="20" max="20" width="14.57421875" style="0" customWidth="1"/>
    <col min="21" max="21" width="9.00390625" style="0" customWidth="1"/>
    <col min="22" max="24" width="6.57421875" style="0" customWidth="1"/>
    <col min="25" max="25" width="11.140625" style="0" bestFit="1" customWidth="1"/>
    <col min="26" max="26" width="10.57421875" style="0" bestFit="1" customWidth="1"/>
  </cols>
  <sheetData>
    <row r="3" spans="1:8" ht="12.75">
      <c r="A3" s="91"/>
      <c r="B3" s="90" t="s">
        <v>37</v>
      </c>
      <c r="C3" s="141"/>
      <c r="D3" s="141"/>
      <c r="E3" s="141"/>
      <c r="F3" s="141"/>
      <c r="G3" s="141"/>
      <c r="H3" s="126"/>
    </row>
    <row r="4" spans="1:8" ht="12.75">
      <c r="A4" s="90" t="s">
        <v>41</v>
      </c>
      <c r="B4" s="91" t="s">
        <v>84</v>
      </c>
      <c r="C4" s="142" t="s">
        <v>36</v>
      </c>
      <c r="D4" s="142" t="s">
        <v>38</v>
      </c>
      <c r="E4" s="142" t="s">
        <v>73</v>
      </c>
      <c r="F4" s="142" t="s">
        <v>81</v>
      </c>
      <c r="G4" s="142" t="s">
        <v>65</v>
      </c>
      <c r="H4" s="92" t="s">
        <v>40</v>
      </c>
    </row>
    <row r="5" spans="1:8" ht="12.75">
      <c r="A5" s="91" t="s">
        <v>43</v>
      </c>
      <c r="B5" s="127"/>
      <c r="C5" s="143">
        <v>1</v>
      </c>
      <c r="D5" s="143"/>
      <c r="E5" s="143"/>
      <c r="F5" s="143">
        <v>0</v>
      </c>
      <c r="G5" s="143">
        <v>1</v>
      </c>
      <c r="H5" s="93">
        <v>2</v>
      </c>
    </row>
    <row r="6" spans="1:8" ht="12.75">
      <c r="A6" s="94" t="s">
        <v>42</v>
      </c>
      <c r="B6" s="128">
        <v>0</v>
      </c>
      <c r="C6" s="144">
        <v>0</v>
      </c>
      <c r="D6" s="144">
        <v>0</v>
      </c>
      <c r="E6" s="144">
        <v>0</v>
      </c>
      <c r="F6" s="144">
        <v>0</v>
      </c>
      <c r="G6" s="144">
        <v>0</v>
      </c>
      <c r="H6" s="95">
        <v>0</v>
      </c>
    </row>
    <row r="7" spans="1:8" ht="12.75">
      <c r="A7" s="94" t="s">
        <v>44</v>
      </c>
      <c r="B7" s="128">
        <v>1</v>
      </c>
      <c r="C7" s="144">
        <v>4</v>
      </c>
      <c r="D7" s="144">
        <v>6</v>
      </c>
      <c r="E7" s="144">
        <v>1</v>
      </c>
      <c r="F7" s="144">
        <v>1</v>
      </c>
      <c r="G7" s="144">
        <v>0</v>
      </c>
      <c r="H7" s="95">
        <v>13</v>
      </c>
    </row>
    <row r="8" spans="1:8" ht="12.75">
      <c r="A8" s="96" t="s">
        <v>45</v>
      </c>
      <c r="B8" s="129">
        <v>0.33333333337213844</v>
      </c>
      <c r="C8" s="145">
        <v>10.050000000104774</v>
      </c>
      <c r="D8" s="145">
        <v>43.28333333332557</v>
      </c>
      <c r="E8" s="145">
        <v>0.4999999998835847</v>
      </c>
      <c r="F8" s="145">
        <v>0.4999999998835847</v>
      </c>
      <c r="G8" s="145">
        <v>0.3666666666395031</v>
      </c>
      <c r="H8" s="97">
        <v>55.03333333320916</v>
      </c>
    </row>
    <row r="12" ht="13.5" thickBot="1"/>
    <row r="13" spans="2:20" ht="12.75">
      <c r="B13" s="99" t="s">
        <v>38</v>
      </c>
      <c r="C13" s="100" t="s">
        <v>46</v>
      </c>
      <c r="D13" s="100" t="s">
        <v>36</v>
      </c>
      <c r="E13" s="100" t="s">
        <v>47</v>
      </c>
      <c r="F13" s="100" t="s">
        <v>48</v>
      </c>
      <c r="G13" s="100" t="s">
        <v>49</v>
      </c>
      <c r="H13" s="100" t="s">
        <v>50</v>
      </c>
      <c r="I13" s="100" t="s">
        <v>51</v>
      </c>
      <c r="J13" s="100" t="s">
        <v>52</v>
      </c>
      <c r="K13" s="100" t="s">
        <v>53</v>
      </c>
      <c r="L13" s="100" t="s">
        <v>54</v>
      </c>
      <c r="M13" s="100" t="s">
        <v>55</v>
      </c>
      <c r="N13" s="100" t="s">
        <v>56</v>
      </c>
      <c r="O13" s="100" t="s">
        <v>57</v>
      </c>
      <c r="P13" s="100" t="s">
        <v>39</v>
      </c>
      <c r="Q13" s="130" t="s">
        <v>64</v>
      </c>
      <c r="R13" s="101" t="s">
        <v>58</v>
      </c>
      <c r="S13" s="101" t="s">
        <v>40</v>
      </c>
      <c r="T13" s="102" t="s">
        <v>59</v>
      </c>
    </row>
    <row r="15" spans="1:20" s="109" customFormat="1" ht="12.75">
      <c r="A15" s="103" t="s">
        <v>67</v>
      </c>
      <c r="B15" s="111">
        <f>IF(B17,SUM(B17/B26),"")</f>
        <v>0.0250627292028521</v>
      </c>
      <c r="C15" s="111">
        <f>IF(C17,SUM(C17/B26),"")</f>
        <v>0.0002895193977322436</v>
      </c>
      <c r="D15" s="111">
        <f>IF(D17,SUM(D17/B26),"")</f>
        <v>0.005819339895833685</v>
      </c>
      <c r="E15" s="111">
        <f>IF(E17,SUM(E17/B26),"")</f>
        <v>0.00019301293188890472</v>
      </c>
      <c r="F15" s="111">
        <f>IF(F17,SUM(F17/B26),"")</f>
      </c>
      <c r="G15" s="111">
        <f>IF(G17,SUM(G17/B26),0)</f>
        <v>0.0002895193977322436</v>
      </c>
      <c r="H15" s="111">
        <f>IF(H17,SUM(H17/B26),"")</f>
      </c>
      <c r="I15" s="111">
        <f>IF(I17,SUM(I17/B26),"")</f>
      </c>
      <c r="J15" s="111">
        <f>IF(J17,SUM(J17/B26),"")</f>
        <v>0.0002123142250373498</v>
      </c>
      <c r="K15" s="111">
        <f>IF(K17,SUM(K17/B26),"")</f>
      </c>
      <c r="L15" s="111">
        <f>IF(L17,SUM(L17/B26),"")</f>
      </c>
      <c r="M15" s="111">
        <f>IF(M17,SUM(M17/B26),"")</f>
      </c>
      <c r="N15" s="111">
        <f>IF(N17,SUM(N17/B26),"")</f>
      </c>
      <c r="O15" s="111">
        <f>IF(O17,SUM(O17/B26),"")</f>
      </c>
      <c r="P15" s="111">
        <f>IF(P17,SUM(P17/B26),"")</f>
      </c>
      <c r="Q15" s="111">
        <f>IF(Q17,SUM(Q17/B26),"")</f>
      </c>
      <c r="R15" s="111">
        <f>IF(R17,SUM(R17/B26),"")</f>
      </c>
      <c r="S15" s="111">
        <f>IF(S17,SUM(S17/B26),"")</f>
        <v>0.03186643505107652</v>
      </c>
      <c r="T15" s="106">
        <f>IF(T17,SUM(T17/M13),"")</f>
      </c>
    </row>
    <row r="16" spans="1:20" ht="12.75">
      <c r="A16" s="103" t="s">
        <v>60</v>
      </c>
      <c r="B16" s="104">
        <f>'[1]reliabilitySummary'!$B$7</f>
        <v>0.005399999999999999</v>
      </c>
      <c r="C16" s="104">
        <f>'[1]reliabilitySummary'!$B$8</f>
        <v>0.0012</v>
      </c>
      <c r="D16" s="104">
        <f>'[1]reliabilitySummary'!$B$9</f>
        <v>0.005399999999999999</v>
      </c>
      <c r="E16" s="104">
        <f>'[1]reliabilitySummary'!$B$10</f>
        <v>0.003</v>
      </c>
      <c r="F16" s="104">
        <f>'[1]reliabilitySummary'!$B$13</f>
        <v>0.0006</v>
      </c>
      <c r="G16" s="104">
        <f>'[1]reliabilitySummary'!$B$14</f>
        <v>0.0006</v>
      </c>
      <c r="H16" s="104">
        <f>'[1]reliabilitySummary'!$B$15</f>
        <v>0.0006</v>
      </c>
      <c r="I16" s="104">
        <f>'[1]reliabilitySummary'!$B$16</f>
        <v>0.0036</v>
      </c>
      <c r="J16" s="104">
        <f>'[1]reliabilitySummary'!$B$18</f>
        <v>0.0012</v>
      </c>
      <c r="K16" s="104">
        <f>'[1]reliabilitySummary'!$B$19</f>
        <v>0</v>
      </c>
      <c r="L16" s="104">
        <f>'[1]reliabilitySummary'!$B$20</f>
        <v>0.0006</v>
      </c>
      <c r="M16" s="104">
        <f>'[1]reliabilitySummary'!$B$24</f>
        <v>0.0006</v>
      </c>
      <c r="N16" s="104">
        <f>'[1]reliabilitySummary'!$B$25</f>
        <v>0.0018</v>
      </c>
      <c r="O16" s="104">
        <f>'[1]reliabilitySummary'!$B$26</f>
        <v>0.0006</v>
      </c>
      <c r="P16" s="104">
        <f>'[1]reliabilitySummary'!$B$27</f>
        <v>0.0018</v>
      </c>
      <c r="Q16" s="104">
        <f>'[1]reliabilitySummary'!$B$11</f>
        <v>0.0012</v>
      </c>
      <c r="R16" s="104">
        <f>'[1]reliabilitySummary'!$B$28</f>
        <v>0.0006</v>
      </c>
      <c r="S16" s="104">
        <v>0.03</v>
      </c>
      <c r="T16" s="105"/>
    </row>
    <row r="17" spans="1:20" s="109" customFormat="1" ht="12.75">
      <c r="A17" s="103" t="s">
        <v>61</v>
      </c>
      <c r="B17" s="106">
        <f>GETPIVOTDATA("Sum of System
Length",$A$3,"Group","RF")</f>
        <v>43.28333333332557</v>
      </c>
      <c r="C17" s="106">
        <f>GETPIVOTDATA("Sum of System
Length",$A$3,"Group","DIA")</f>
        <v>0.4999999998835847</v>
      </c>
      <c r="D17" s="106">
        <f>GETPIVOTDATA("Sum of System
Length",$A$3,"Group","PS")</f>
        <v>10.050000000104774</v>
      </c>
      <c r="E17" s="106">
        <f>GETPIVOTDATA("Sum of System
Length",$A$3,"Group","CTL")</f>
        <v>0.33333333337213844</v>
      </c>
      <c r="F17" s="106"/>
      <c r="G17" s="106">
        <f>GETPIVOTDATA("Sum of System
Length",$A$3,"Group","SI")</f>
        <v>0.4999999998835847</v>
      </c>
      <c r="H17" s="106"/>
      <c r="I17" s="106"/>
      <c r="J17" s="106">
        <f>GETPIVOTDATA("Sum of System
Length",$A$3,"Group","OA")</f>
        <v>0.3666666666395031</v>
      </c>
      <c r="K17" s="106"/>
      <c r="L17" s="106"/>
      <c r="M17" s="106"/>
      <c r="N17" s="106"/>
      <c r="O17" s="106"/>
      <c r="P17" s="107"/>
      <c r="Q17" s="107"/>
      <c r="R17" s="107"/>
      <c r="S17" s="107">
        <f>SUM(B17:R17)</f>
        <v>55.03333333320916</v>
      </c>
      <c r="T17" s="108"/>
    </row>
    <row r="18" spans="1:20" ht="12.75">
      <c r="A18" s="103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5"/>
    </row>
    <row r="20" spans="1:19" ht="13.5" thickBot="1">
      <c r="A20" s="112" t="s">
        <v>62</v>
      </c>
      <c r="B20">
        <f>GETPIVOTDATA("Sum of Store Lost",$A$3,"Group","RF")</f>
        <v>6</v>
      </c>
      <c r="C20">
        <f>GETPIVOTDATA("Sum of Store Lost",$A$3,"Group","DIA")</f>
        <v>1</v>
      </c>
      <c r="D20">
        <f>GETPIVOTDATA("Sum of Store Lost",$A$3,"Group","PS")</f>
        <v>4</v>
      </c>
      <c r="E20">
        <f>GETPIVOTDATA("Sum of Store Lost",$A$3,"Group","CTL")</f>
        <v>1</v>
      </c>
      <c r="G20">
        <f>GETPIVOTDATA("Sum of Store Lost",$A$3,"Group","SI")</f>
        <v>1</v>
      </c>
      <c r="J20">
        <f>GETPIVOTDATA("Sum of Store Lost",$A$3,"Group","OA")</f>
        <v>0</v>
      </c>
      <c r="S20" s="107">
        <f>SUM(B20:R20)</f>
        <v>13</v>
      </c>
    </row>
    <row r="21" spans="2:19" ht="12.75">
      <c r="B21" s="99" t="s">
        <v>38</v>
      </c>
      <c r="C21" s="100" t="s">
        <v>46</v>
      </c>
      <c r="D21" s="100" t="s">
        <v>36</v>
      </c>
      <c r="E21" s="100" t="s">
        <v>47</v>
      </c>
      <c r="F21" s="100" t="s">
        <v>48</v>
      </c>
      <c r="G21" s="100" t="s">
        <v>49</v>
      </c>
      <c r="H21" s="100" t="s">
        <v>50</v>
      </c>
      <c r="I21" s="100" t="s">
        <v>63</v>
      </c>
      <c r="J21" s="100" t="s">
        <v>52</v>
      </c>
      <c r="K21" s="100" t="s">
        <v>53</v>
      </c>
      <c r="L21" s="100" t="s">
        <v>54</v>
      </c>
      <c r="M21" s="100" t="s">
        <v>55</v>
      </c>
      <c r="N21" s="100" t="s">
        <v>56</v>
      </c>
      <c r="O21" s="100" t="s">
        <v>57</v>
      </c>
      <c r="P21" s="100" t="s">
        <v>39</v>
      </c>
      <c r="Q21" s="130" t="s">
        <v>64</v>
      </c>
      <c r="R21" s="101" t="s">
        <v>58</v>
      </c>
      <c r="S21" s="107"/>
    </row>
    <row r="22" spans="1:19" ht="12.75">
      <c r="A22" s="103" t="s">
        <v>67</v>
      </c>
      <c r="B22" s="115">
        <f aca="true" t="shared" si="0" ref="B22:K22">B20/($B25/24)</f>
        <v>0.0861261189417588</v>
      </c>
      <c r="C22" s="115">
        <f t="shared" si="0"/>
        <v>0.0143543531569598</v>
      </c>
      <c r="D22" s="115">
        <f t="shared" si="0"/>
        <v>0.0574174126278392</v>
      </c>
      <c r="E22" s="115">
        <f t="shared" si="0"/>
        <v>0.0143543531569598</v>
      </c>
      <c r="F22" s="115">
        <f t="shared" si="0"/>
        <v>0</v>
      </c>
      <c r="G22" s="155">
        <f t="shared" si="0"/>
        <v>0.0143543531569598</v>
      </c>
      <c r="H22" s="115">
        <f t="shared" si="0"/>
        <v>0</v>
      </c>
      <c r="I22" s="115"/>
      <c r="J22" s="119">
        <f t="shared" si="0"/>
        <v>0</v>
      </c>
      <c r="K22" s="119">
        <f t="shared" si="0"/>
        <v>0</v>
      </c>
      <c r="L22" s="115">
        <f>L20/($B25/24)</f>
        <v>0</v>
      </c>
      <c r="M22" s="119"/>
      <c r="N22" s="115">
        <f>N20/($B25/24)</f>
        <v>0</v>
      </c>
      <c r="O22" s="116"/>
      <c r="P22" s="116"/>
      <c r="Q22" s="115">
        <f>Q20/($B25/24)</f>
        <v>0</v>
      </c>
      <c r="R22" s="115">
        <f>R20/($B25/24)</f>
        <v>0</v>
      </c>
      <c r="S22" s="115">
        <f>S20/($B25/24)</f>
        <v>0.1866065910404774</v>
      </c>
    </row>
    <row r="23" spans="1:20" ht="12.75">
      <c r="A23" s="113" t="s">
        <v>60</v>
      </c>
      <c r="B23" s="114">
        <f>'[1]reliabilitySummary'!$F$7</f>
        <v>0.12</v>
      </c>
      <c r="C23" s="114">
        <f>'[1]reliabilitySummary'!$F$8</f>
        <v>0.03</v>
      </c>
      <c r="D23" s="114">
        <f>'[1]reliabilitySummary'!$F$9</f>
        <v>0.12</v>
      </c>
      <c r="E23" s="114">
        <v>0.05</v>
      </c>
      <c r="F23" s="114">
        <v>0.01</v>
      </c>
      <c r="G23" s="114">
        <v>0.01</v>
      </c>
      <c r="H23" s="114">
        <v>0.02</v>
      </c>
      <c r="I23" s="114">
        <v>0.06</v>
      </c>
      <c r="J23" s="114">
        <v>0.02</v>
      </c>
      <c r="K23" s="110">
        <v>0</v>
      </c>
      <c r="L23" s="110">
        <v>0.01</v>
      </c>
      <c r="M23" s="110">
        <v>0.01</v>
      </c>
      <c r="N23" s="110">
        <v>0.01</v>
      </c>
      <c r="O23" s="110">
        <v>0.01</v>
      </c>
      <c r="P23" s="110">
        <v>0.02</v>
      </c>
      <c r="Q23" s="110">
        <v>0.01</v>
      </c>
      <c r="R23" s="110">
        <v>0.02</v>
      </c>
      <c r="S23" s="110">
        <f>SUM(B23:R23)</f>
        <v>0.5300000000000001</v>
      </c>
      <c r="T23" s="98"/>
    </row>
    <row r="25" spans="1:2" ht="12.75">
      <c r="A25" s="12" t="s">
        <v>11</v>
      </c>
      <c r="B25" s="109">
        <f>'Main Data'!D54</f>
        <v>1671.9666666667908</v>
      </c>
    </row>
    <row r="26" spans="1:2" ht="12.75">
      <c r="A26" s="117" t="s">
        <v>13</v>
      </c>
      <c r="B26" s="110">
        <f>'Main Data'!D56</f>
        <v>1727</v>
      </c>
    </row>
    <row r="30" ht="12.75">
      <c r="A30" s="9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21" max="21" width="37.421875" style="0" customWidth="1"/>
  </cols>
  <sheetData/>
  <printOptions/>
  <pageMargins left="0.75" right="0.75" top="1" bottom="1" header="0.5" footer="0.5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60" zoomScaleNormal="6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Rod Gerig</Manager>
  <Company>ANL/APS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dc:description/>
  <cp:lastModifiedBy>Flood</cp:lastModifiedBy>
  <cp:lastPrinted>2007-10-18T18:18:14Z</cp:lastPrinted>
  <dcterms:created xsi:type="dcterms:W3CDTF">1998-01-15T00:06:45Z</dcterms:created>
  <dcterms:modified xsi:type="dcterms:W3CDTF">2008-05-02T18:16:04Z</dcterms:modified>
  <cp:category>Downtime</cp:category>
  <cp:version/>
  <cp:contentType/>
  <cp:contentStatus/>
</cp:coreProperties>
</file>