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536" yWindow="65524" windowWidth="10596" windowHeight="10728" tabRatio="772" activeTab="3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Data'!$D$109</definedName>
    <definedName name="Mean_Time_Between_Faults">'Main Data'!$D$108</definedName>
    <definedName name="Number_of_Fills">'Main Data'!$D$101</definedName>
    <definedName name="Number_of_Intentional_Dumps">'Main Data'!$D$100</definedName>
    <definedName name="Number_of_Lost_Fills">'Main Data'!$D$99</definedName>
    <definedName name="_xlnm.Print_Area" localSheetId="3">'Faults Per Day'!$A$1:$W$67</definedName>
    <definedName name="_xlnm.Print_Area" localSheetId="0">'Main Data'!$A$2:$P$66</definedName>
    <definedName name="_xlnm.Print_Titles" localSheetId="0">'Main Data'!$5:$5</definedName>
    <definedName name="Refill_Time">'Main Data'!$D$1</definedName>
    <definedName name="Total_Schedule_Run_Length">'Main Data'!$D$105</definedName>
    <definedName name="Total_System_Downtime">'Main Data'!$K$101</definedName>
    <definedName name="Total_User_Beam">'Main Data'!$D$103</definedName>
    <definedName name="Total_User_Downtime">'Main Data'!$D$104</definedName>
    <definedName name="User_Beam_Days">'Main Data'!$E$103</definedName>
    <definedName name="X_ray_Availability">'Main Data'!$D$110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<sst xmlns="http://schemas.openxmlformats.org/spreadsheetml/2006/main" count="256" uniqueCount="119">
  <si>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</si>
  <si>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</si>
  <si>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</si>
  <si>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</si>
  <si>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</si>
  <si>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</si>
  <si>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</si>
  <si>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</si>
  <si>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</si>
  <si>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</si>
  <si>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</si>
  <si>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</si>
  <si>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</si>
  <si>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</si>
  <si>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</si>
  <si>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</si>
  <si>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</si>
  <si>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</si>
  <si>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</si>
  <si>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</si>
  <si>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</si>
  <si>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</si>
  <si>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</si>
  <si>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</si>
  <si>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</si>
  <si>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</si>
  <si>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</si>
  <si>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</si>
  <si>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</si>
  <si>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</si>
  <si>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</si>
  <si>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</si>
  <si>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</si>
  <si>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</si>
  <si>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</si>
  <si>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</si>
  <si>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</si>
  <si>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</si>
  <si>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</si>
  <si>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</si>
  <si>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</si>
  <si>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</si>
  <si>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</si>
  <si>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</si>
  <si>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</si>
  <si>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</si>
  <si>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</si>
  <si>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</si>
  <si>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</si>
  <si>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</si>
  <si>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</si>
  <si>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</si>
  <si>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</si>
  <si>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</si>
  <si>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</si>
  <si>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</si>
  <si>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</si>
  <si>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</si>
  <si>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</si>
  <si>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</si>
  <si>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</si>
  <si>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</si>
  <si>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</si>
  <si>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Downtime Budget</t>
  </si>
  <si>
    <t>0.90%  RF</t>
  </si>
  <si>
    <t>0.20% Diagnostics</t>
  </si>
  <si>
    <t>0.90% PS</t>
  </si>
  <si>
    <t>0.50% Controls</t>
  </si>
  <si>
    <t>0.10% Accelerator Intlks</t>
  </si>
  <si>
    <t>0.10% Beamline Intlks</t>
  </si>
  <si>
    <t>0.10% Radiation Intlks</t>
  </si>
  <si>
    <t>0.30% Water/ME</t>
  </si>
  <si>
    <t>0.30% Vacuum</t>
  </si>
  <si>
    <t>0.10% Operations</t>
  </si>
  <si>
    <t>0.10% Software</t>
  </si>
  <si>
    <t>0.00% Physics</t>
  </si>
  <si>
    <t>0.10% ID-FE</t>
  </si>
  <si>
    <t>0.10% Electrical - APS</t>
  </si>
  <si>
    <t>0.30% Electrical - ANL</t>
  </si>
  <si>
    <t>0.10% Cooling - ANL</t>
  </si>
  <si>
    <t>0.30% Other</t>
  </si>
  <si>
    <t>0.10% Unidentified</t>
  </si>
  <si>
    <t>-------</t>
  </si>
  <si>
    <t>4.6% Total</t>
  </si>
  <si>
    <t>OA</t>
  </si>
  <si>
    <t>MOM</t>
  </si>
  <si>
    <t>Downtime for Run 2007-2</t>
  </si>
  <si>
    <t xml:space="preserve">Int Dump: End of Period </t>
  </si>
  <si>
    <t>Com-Ed Power Bump[OTHER]</t>
  </si>
  <si>
    <t>Recovery from beam loss [OA]</t>
  </si>
  <si>
    <t>ComEd</t>
  </si>
  <si>
    <t>CF</t>
  </si>
  <si>
    <t>OTHER</t>
  </si>
  <si>
    <t>Inhibits Beam To User</t>
  </si>
  <si>
    <t xml:space="preserve">S40 RF Cav.2 Vacuum [RF] </t>
  </si>
  <si>
    <t>S23B:Q2 P.S. trip   [PS]</t>
  </si>
  <si>
    <t>GESPAC Failure      [PS]</t>
  </si>
  <si>
    <t>RF IG Contr.failed [MOM]</t>
  </si>
  <si>
    <t>RF4 Power Mon. Trip [RF]</t>
  </si>
  <si>
    <t>S21 P.S. problem    [PS]</t>
  </si>
  <si>
    <t>S40 RF Cav. Vacuum  [RF]</t>
  </si>
  <si>
    <t>Faulty rack fan    [MOM]</t>
  </si>
  <si>
    <t>Failed RF3 Kalmus   [RF]</t>
  </si>
  <si>
    <t>GESPAC PS Failure  [PS]</t>
  </si>
  <si>
    <t>Steering PS problem CTL]</t>
  </si>
  <si>
    <t>CTL</t>
  </si>
  <si>
    <t>Power bump       [OTHER]</t>
  </si>
  <si>
    <t>PFS</t>
  </si>
  <si>
    <t>VXI P.S. failure    [RF]</t>
  </si>
  <si>
    <t>Bld450 Breaker Trip[FMS]</t>
  </si>
  <si>
    <t>IT</t>
  </si>
  <si>
    <t>UPS failed and took down ACIS</t>
  </si>
  <si>
    <t>Tornado Warning</t>
  </si>
  <si>
    <t>RTFB IOC reboot     [OA]</t>
  </si>
  <si>
    <t>S40 RF Cav Vac Fault[RF]</t>
  </si>
  <si>
    <t xml:space="preserve">2nd RF Cav.Vac. trip in &lt;1hr., reset, refilled </t>
  </si>
  <si>
    <t xml:space="preserve">S3A:Q5:PS trip      [PS] </t>
  </si>
  <si>
    <t>Network</t>
  </si>
  <si>
    <t>Run 2007-2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</si>
</sst>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m/d/yy\ h:mm;@"/>
    <numFmt numFmtId="201" formatCode="[$-409]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28.5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20.75"/>
      <name val="Arial"/>
      <family val="2"/>
    </font>
    <font>
      <sz val="29.75"/>
      <name val="Arial"/>
      <family val="0"/>
    </font>
    <font>
      <sz val="33.5"/>
      <name val="Arial"/>
      <family val="0"/>
    </font>
    <font>
      <sz val="12"/>
      <name val="Arial"/>
      <family val="2"/>
    </font>
    <font>
      <sz val="18.5"/>
      <name val="Arial"/>
      <family val="2"/>
    </font>
    <font>
      <b/>
      <sz val="37.25"/>
      <name val="Arial"/>
      <family val="0"/>
    </font>
    <font>
      <b/>
      <sz val="33.5"/>
      <name val="Arial"/>
      <family val="0"/>
    </font>
    <font>
      <b/>
      <sz val="16.5"/>
      <name val="Arial"/>
      <family val="2"/>
    </font>
    <font>
      <sz val="17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 horizontal="left"/>
      <protection/>
    </xf>
    <xf numFmtId="177" fontId="0" fillId="5" borderId="3" xfId="0" applyNumberFormat="1" applyFont="1" applyFill="1" applyBorder="1" applyAlignment="1">
      <alignment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Run 2007-2 Downtime by System 
May 30 - August 23, 2007
 Scheduled User Time =  1728 hours                                  
User downtime=  35.28 hours</a:t>
            </a:r>
          </a:p>
        </c:rich>
      </c:tx>
      <c:layout>
        <c:manualLayout>
          <c:xMode val="factor"/>
          <c:yMode val="factor"/>
          <c:x val="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95"/>
          <c:w val="0.87575"/>
          <c:h val="0.8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  <c:pt idx="16">
                  <c:v>Network</c:v>
                </c:pt>
              </c:strCache>
            </c:strRef>
          </c:cat>
          <c:val>
            <c:numRef>
              <c:f>Stats!$B$14:$R$14</c:f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2007-2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  <c:pt idx="16">
                  <c:v>Network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0.0038966425214968865</c:v>
                </c:pt>
                <c:pt idx="1">
                  <c:v>0</c:v>
                </c:pt>
                <c:pt idx="2">
                  <c:v>0.006037866877549538</c:v>
                </c:pt>
                <c:pt idx="3">
                  <c:v>0.00038580619020419266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0.002469159617630212</c:v>
                </c:pt>
                <c:pt idx="8">
                  <c:v>0.00037616103541624466</c:v>
                </c:pt>
                <c:pt idx="9">
                  <c:v>0</c:v>
                </c:pt>
                <c:pt idx="10">
                  <c:v>0</c:v>
                </c:pt>
                <c:pt idx="12">
                  <c:v>0.0033082880815542334</c:v>
                </c:pt>
                <c:pt idx="13">
                  <c:v>0</c:v>
                </c:pt>
                <c:pt idx="14">
                  <c:v>0.0010513218685514858</c:v>
                </c:pt>
                <c:pt idx="15">
                  <c:v>0</c:v>
                </c:pt>
                <c:pt idx="16">
                  <c:v>0.002893546426885141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  <c:pt idx="16">
                  <c:v>Network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0.009</c:v>
                </c:pt>
                <c:pt idx="1">
                  <c:v>0.002</c:v>
                </c:pt>
                <c:pt idx="2">
                  <c:v>0.009</c:v>
                </c:pt>
                <c:pt idx="3">
                  <c:v>0.005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0.006</c:v>
                </c:pt>
                <c:pt idx="8">
                  <c:v>0.002</c:v>
                </c:pt>
                <c:pt idx="9">
                  <c:v>0</c:v>
                </c:pt>
                <c:pt idx="10">
                  <c:v>0.001</c:v>
                </c:pt>
                <c:pt idx="11">
                  <c:v>0.001</c:v>
                </c:pt>
                <c:pt idx="12">
                  <c:v>0.003</c:v>
                </c:pt>
                <c:pt idx="13">
                  <c:v>0.001</c:v>
                </c:pt>
                <c:pt idx="14">
                  <c:v>0.003</c:v>
                </c:pt>
                <c:pt idx="15">
                  <c:v>0.001</c:v>
                </c:pt>
                <c:pt idx="16">
                  <c:v>0.001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80"/>
        <c:noMultiLvlLbl val="0"/>
      </c:catAx>
      <c:valAx>
        <c:axId val="5968980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1695"/>
          <c:w val="0.123"/>
          <c:h val="0.045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25" b="1" i="0" u="none" baseline="0">
                <a:latin typeface="Arial"/>
                <a:ea typeface="Arial"/>
                <a:cs typeface="Arial"/>
              </a:rPr>
              <a:t>Run 2007-2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975"/>
          <c:w val="0.832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2007-2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  <c:pt idx="16">
                  <c:v>Network</c:v>
                </c:pt>
              </c:strCache>
            </c:strRef>
          </c:cat>
          <c:val>
            <c:numRef>
              <c:f>Stats!$B$20:$R$20</c:f>
              <c:numCache>
                <c:ptCount val="17"/>
                <c:pt idx="0">
                  <c:v>0.08507118804275376</c:v>
                </c:pt>
                <c:pt idx="1">
                  <c:v>0</c:v>
                </c:pt>
                <c:pt idx="2">
                  <c:v>0.08507118804275376</c:v>
                </c:pt>
                <c:pt idx="3">
                  <c:v>0.01417853134045896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0.02835706268091792</c:v>
                </c:pt>
                <c:pt idx="8">
                  <c:v>0.01417853134045896</c:v>
                </c:pt>
                <c:pt idx="10">
                  <c:v>0</c:v>
                </c:pt>
                <c:pt idx="11">
                  <c:v>0</c:v>
                </c:pt>
                <c:pt idx="12">
                  <c:v>0.01417853134045896</c:v>
                </c:pt>
                <c:pt idx="15">
                  <c:v>0</c:v>
                </c:pt>
                <c:pt idx="16">
                  <c:v>0.01417853134045896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  <c:pt idx="16">
                  <c:v>Network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  <c:pt idx="16">
                  <c:v>0.01</c:v>
                </c:pt>
              </c:numCache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350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37325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2465"/>
          <c:w val="0.093"/>
          <c:h val="0.04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98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7145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123825</xdr:rowOff>
    </xdr:from>
    <xdr:ext cx="85725" cy="171450"/>
    <xdr:sp>
      <xdr:nvSpPr>
        <xdr:cNvPr id="2" name="TextBox 15"/>
        <xdr:cNvSpPr txBox="1">
          <a:spLocks noChangeArrowheads="1"/>
        </xdr:cNvSpPr>
      </xdr:nvSpPr>
      <xdr:spPr>
        <a:xfrm>
          <a:off x="8648700" y="9877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0.0005</cdr:x>
      <cdr:y>0.04675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590550</xdr:colOff>
      <xdr:row>65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27825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21</xdr:col>
      <xdr:colOff>523875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13325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54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Blank="1" containsMixedTypes="0" count="22">
        <s v="Int Dump: End of Period "/>
        <m/>
        <s v="Recovery from beam loss [OA]"/>
        <s v="Com-Ed Power Bump[OTHER]"/>
        <s v="S40 RF Cav.2 Vacuum [RF] "/>
        <s v="S23B:Q2 P.S. trip   [PS]"/>
        <s v="GESPAC Failure      [PS]"/>
        <s v="RF IG Contr.failed [MOM]"/>
        <s v="Steering PS problem CTL]"/>
        <s v="RF4 Power Mon. Trip [RF]"/>
        <s v="S21 P.S. problem    [PS]"/>
        <s v="S40 RF Cav. Vacuum  [RF]"/>
        <s v="Faulty rack fan    [MOM]"/>
        <s v="Failed RF3 Kalmus   [RF]"/>
        <s v="GESPAC PS Failure  [PS]"/>
        <s v="Power bump       [OTHER]"/>
        <s v="VXI P.S. failure    [RF]"/>
        <s v="Bld450 Breaker Trip[FMS]"/>
        <s v="Tornado Warning"/>
        <s v="RTFB IOC reboot     [OA]"/>
        <s v="S40 RF Cav Vac Fault[RF]"/>
        <s v="S3A:Q5:PS trip      [PS] "/>
      </sharedItems>
    </cacheField>
    <cacheField name="DIN #">
      <sharedItems containsString="0" containsBlank="1" containsMixedTypes="0" containsNumber="1" containsInteger="1" count="21">
        <m/>
        <n v="105264"/>
        <n v="105266"/>
        <n v="105267"/>
        <n v="105268"/>
        <n v="105271"/>
        <n v="105272"/>
        <n v="105273"/>
        <n v="105274"/>
        <n v="105275"/>
        <n v="105276"/>
        <n v="105278"/>
        <n v="105282"/>
        <n v="105283"/>
        <n v="105285"/>
        <n v="105288"/>
        <n v="105290"/>
        <n v="105298"/>
        <n v="105300"/>
        <n v="105303"/>
        <n v="105304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3">
        <m/>
        <d v="2007-06-13T08:00:00.000"/>
        <d v="2007-06-13T11:06:00.000"/>
        <d v="2007-06-13T20:48:00.000"/>
        <d v="2007-06-17T05:13:00.000"/>
        <d v="2007-06-22T03:19:00.000"/>
        <d v="2007-06-29T06:36:00.000"/>
        <d v="2007-06-29T12:49:00.000"/>
        <d v="2007-06-30T21:43:00.000"/>
        <d v="2007-07-01T09:25:00.000"/>
        <d v="2007-07-03T15:33:00.000"/>
        <d v="2007-07-05T21:04:00.000"/>
        <d v="2007-07-15T08:53:00.000"/>
        <d v="2007-07-15T22:26:00.000"/>
        <d v="2007-07-18T23:10:00.000"/>
        <d v="2007-07-19T04:10:00.000"/>
        <d v="2007-07-25T10:56:00.000"/>
        <d v="2007-07-30T12:02:00.000"/>
        <d v="2007-08-05T18:15:00.000"/>
        <d v="2007-08-08T18:33:00.000"/>
        <d v="2007-08-09T02:57:00.000"/>
        <d v="2007-08-21T16:40:00.000"/>
        <d v="2007-08-22T05:11:00.000"/>
      </sharedItems>
    </cacheField>
    <cacheField name="End2">
      <sharedItems containsDate="1" containsString="0" containsBlank="1" containsMixedTypes="0" count="23">
        <m/>
        <d v="2007-06-13T08:14:00.000"/>
        <d v="2007-06-13T12:24:00.000"/>
        <d v="2007-06-13T21:12:00.000"/>
        <d v="2007-06-17T06:36:00.000"/>
        <d v="2007-06-22T05:47:00.000"/>
        <d v="2007-06-29T08:45:00.000"/>
        <d v="2007-06-29T13:29:00.000"/>
        <d v="2007-06-30T22:39:00.000"/>
        <d v="2007-07-01T10:20:00.000"/>
        <d v="2007-07-03T16:34:00.000"/>
        <d v="2007-07-05T23:11:00.000"/>
        <d v="2007-07-15T10:24:00.000"/>
        <d v="2007-07-16T02:01:00.000"/>
        <d v="2007-07-19T04:30:00.000"/>
        <d v="2007-07-19T04:10:00.000"/>
        <d v="2007-07-25T12:38:00.000"/>
        <d v="2007-07-30T17:45:00.000"/>
        <d v="2007-08-05T18:46:00.000"/>
        <d v="2007-08-08T18:58:00.000"/>
        <d v="2007-08-09T04:07:00.000"/>
        <d v="2007-08-21T17:43:00.000"/>
        <d v="2007-08-22T05:53:00.000"/>
      </sharedItems>
    </cacheField>
    <cacheField name="User &#10;Length">
      <sharedItems containsString="0" containsBlank="1" containsMixedTypes="0" containsNumber="1" count="29">
        <n v="0"/>
        <n v="0.23333333322079852"/>
        <n v="1.3000000000465661"/>
        <n v="0.39999999990686774"/>
        <n v="1.3833333333022892"/>
        <n v="3.3166666664765216"/>
        <n v="2.4666666666744277"/>
        <n v="2.150000000023283"/>
        <n v="0.6666666665696539"/>
        <n v="0.93333333323244"/>
        <n v="0.9166666666860692"/>
        <n v="1.0166666666627862"/>
        <n v="5.683333333174232"/>
        <n v="2.1166666665812954"/>
        <n v="1.5166666667209938"/>
        <n v="3.583333333313931"/>
        <n v="5.100000000034925"/>
        <n v="5.333333333255723"/>
        <m/>
        <n v="1.6999999999534339"/>
        <n v="5.716666666790843"/>
        <n v="7.416666666744277"/>
        <n v="0.5166666667792015"/>
        <n v="0.41666666662786156"/>
        <n v="1.1666666666278616"/>
        <n v="1.5833333332557231"/>
        <n v="1.0499999999301508"/>
        <n v="0.7000000000116415"/>
        <n v="1.7499999999417923"/>
      </sharedItems>
    </cacheField>
    <cacheField name="System&#10;Length">
      <sharedItems containsMixedTypes="1" containsNumber="1"/>
    </cacheField>
    <cacheField name="Cause">
      <sharedItems containsBlank="1" containsMixedTypes="0" count="11">
        <s v="Scheduled"/>
        <m/>
        <s v="OA"/>
        <s v="ComEd"/>
        <s v="RF"/>
        <s v="PS"/>
        <s v="MOM"/>
        <s v="CTL"/>
        <s v="IT"/>
        <s v="PFS"/>
        <s v="Other"/>
      </sharedItems>
    </cacheField>
    <cacheField name="System">
      <sharedItems containsBlank="1" containsMixedTypes="0" count="9">
        <m/>
        <s v="OA"/>
        <s v="CF"/>
        <s v="RF"/>
        <s v="PS"/>
        <s v="MOM"/>
        <s v="CTL"/>
        <s v="IT"/>
        <s v="Other"/>
      </sharedItems>
    </cacheField>
    <cacheField name="Group">
      <sharedItems containsBlank="1" containsMixedTypes="0" count="17">
        <m/>
        <s v="OA"/>
        <s v="OTHER"/>
        <s v="RF"/>
        <s v="PS"/>
        <s v="MOM"/>
        <s v="CTL"/>
        <s v="IT"/>
        <s v="PFS"/>
        <s v="DIA"/>
        <s v="ME"/>
        <s v="OAG"/>
        <s v="OPS"/>
        <s v="SI"/>
        <s v="UES"/>
        <s v="UNK"/>
        <s v="XFD"/>
      </sharedItems>
    </cacheField>
    <cacheField name="Type">
      <sharedItems containsBlank="1" containsMixedTypes="0" count="3">
        <m/>
        <s v="Inhibits Beam To User"/>
        <s v="Store Lost"/>
      </sharedItems>
    </cacheField>
    <cacheField name="Description">
      <sharedItems containsBlank="1" containsMixedTypes="0" count="3">
        <m/>
        <s v="UPS failed and took down ACIS"/>
        <s v="2nd RF Cav.Vac. trip in &lt;1hr., reset, refilled "/>
      </sharedItems>
    </cacheField>
    <cacheField name="Store Lost">
      <sharedItems containsBlank="1" containsMixedTypes="1" containsNumber="1" containsInteger="1" count="3">
        <s v=""/>
        <n v="1"/>
        <m/>
      </sharedItems>
    </cacheField>
    <cacheField name="Intention. Dump">
      <sharedItems containsMixedTypes="1" containsNumber="1" containsInteger="1" count="2">
        <n v="1"/>
        <s v=""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8">
        <item x="6"/>
        <item m="1" x="11"/>
        <item x="2"/>
        <item x="4"/>
        <item x="3"/>
        <item m="1" x="14"/>
        <item m="1" x="15"/>
        <item m="1" x="16"/>
        <item h="1" x="0"/>
        <item m="1" x="10"/>
        <item m="1" x="12"/>
        <item m="1" x="13"/>
        <item x="5"/>
        <item m="1" x="9"/>
        <item x="8"/>
        <item x="1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9">
    <i>
      <x/>
    </i>
    <i>
      <x v="2"/>
    </i>
    <i>
      <x v="3"/>
    </i>
    <i>
      <x v="4"/>
    </i>
    <i>
      <x v="12"/>
    </i>
    <i>
      <x v="14"/>
    </i>
    <i>
      <x v="15"/>
    </i>
    <i>
      <x v="16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7"/>
  <sheetViews>
    <sheetView zoomScale="75" zoomScaleNormal="75" workbookViewId="0" topLeftCell="A1">
      <pane ySplit="5" topLeftCell="BM3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1" customWidth="1"/>
    <col min="7" max="7" width="3.28125" style="49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63" customWidth="1"/>
    <col min="13" max="13" width="13.28125" style="64" customWidth="1"/>
    <col min="14" max="14" width="11.421875" style="64" customWidth="1"/>
    <col min="15" max="15" width="22.00390625" style="63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22</v>
      </c>
      <c r="B1" s="16"/>
      <c r="C1" s="16"/>
      <c r="D1" s="7">
        <v>0.25</v>
      </c>
      <c r="E1" s="14" t="s">
        <v>30</v>
      </c>
      <c r="F1" s="15"/>
      <c r="G1" s="48"/>
      <c r="H1" s="31"/>
      <c r="I1" s="31"/>
      <c r="J1" s="7"/>
      <c r="K1" s="33"/>
      <c r="L1" s="57"/>
      <c r="M1" s="58"/>
      <c r="N1" s="58"/>
      <c r="O1" s="57"/>
      <c r="P1" s="8"/>
      <c r="W1" s="6" t="s">
        <v>23</v>
      </c>
      <c r="X1" s="1">
        <f>D1/24</f>
        <v>0.010416666666666666</v>
      </c>
    </row>
    <row r="2" spans="1:16" ht="24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46"/>
      <c r="K2" s="46"/>
      <c r="L2" s="59"/>
      <c r="M2" s="60"/>
      <c r="N2" s="60"/>
      <c r="O2" s="59"/>
      <c r="P2" s="8"/>
    </row>
    <row r="3" spans="1:20" s="3" customFormat="1" ht="12.75">
      <c r="A3" s="29"/>
      <c r="B3" s="16"/>
      <c r="C3" s="16"/>
      <c r="D3" s="7"/>
      <c r="E3" s="14"/>
      <c r="F3" s="50"/>
      <c r="G3" s="48"/>
      <c r="H3" s="31"/>
      <c r="I3" s="31"/>
      <c r="J3" s="7"/>
      <c r="K3" s="33"/>
      <c r="L3" s="57"/>
      <c r="M3" s="58"/>
      <c r="N3" s="58"/>
      <c r="O3" s="57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0"/>
      <c r="G4" s="48"/>
      <c r="H4" s="31"/>
      <c r="I4" s="31"/>
      <c r="J4" s="7"/>
      <c r="K4" s="33"/>
      <c r="L4" s="57"/>
      <c r="M4" s="58"/>
      <c r="N4" s="58"/>
      <c r="O4" s="57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19</v>
      </c>
      <c r="F5" s="37" t="s">
        <v>20</v>
      </c>
      <c r="G5" s="10" t="s">
        <v>6</v>
      </c>
      <c r="H5" s="39" t="s">
        <v>0</v>
      </c>
      <c r="I5" s="39" t="s">
        <v>1</v>
      </c>
      <c r="J5" s="24" t="s">
        <v>7</v>
      </c>
      <c r="K5" s="28" t="s">
        <v>21</v>
      </c>
      <c r="L5" s="61" t="s">
        <v>4</v>
      </c>
      <c r="M5" s="62" t="s">
        <v>10</v>
      </c>
      <c r="N5" s="62" t="s">
        <v>37</v>
      </c>
      <c r="O5" s="61" t="s">
        <v>5</v>
      </c>
      <c r="P5" s="11" t="s">
        <v>25</v>
      </c>
      <c r="Q5" s="44" t="s">
        <v>26</v>
      </c>
      <c r="R5" s="44" t="s">
        <v>34</v>
      </c>
      <c r="S5" s="44" t="s">
        <v>32</v>
      </c>
      <c r="T5" s="53" t="s">
        <v>33</v>
      </c>
    </row>
    <row r="6" spans="1:23" s="76" customFormat="1" ht="12.75">
      <c r="A6" s="123">
        <v>1</v>
      </c>
      <c r="B6" s="121">
        <v>39232.333333333336</v>
      </c>
      <c r="C6" s="121">
        <v>39238.333333333336</v>
      </c>
      <c r="D6" s="75">
        <f>(C6-B6)*24</f>
        <v>144</v>
      </c>
      <c r="E6" s="124" t="s">
        <v>87</v>
      </c>
      <c r="F6" s="125"/>
      <c r="G6" s="126"/>
      <c r="H6" s="121"/>
      <c r="I6" s="121"/>
      <c r="J6" s="75">
        <f>(I6-H6)*24</f>
        <v>0</v>
      </c>
      <c r="K6" s="75">
        <f>(I6-H6)*24</f>
        <v>0</v>
      </c>
      <c r="L6" s="127" t="s">
        <v>24</v>
      </c>
      <c r="M6" s="127"/>
      <c r="N6" s="127"/>
      <c r="O6" s="128"/>
      <c r="P6" s="124"/>
      <c r="Q6" s="12">
        <f aca="true" t="shared" si="0" ref="Q6:Q52">IF($O6="Store Lost",1,"")</f>
      </c>
      <c r="R6" s="12">
        <f aca="true" t="shared" si="1" ref="R6:R52">IF($L6="Scheduled",1,"")</f>
        <v>1</v>
      </c>
      <c r="S6" s="12">
        <f aca="true" t="shared" si="2" ref="S6:S52">IF($O6="Inhibits beam to user",1,"")</f>
      </c>
      <c r="T6" s="54">
        <f aca="true" t="shared" si="3" ref="T6:T15">SUM(Q6:S6)</f>
        <v>1</v>
      </c>
      <c r="U6" s="3"/>
      <c r="V6" s="3"/>
      <c r="W6" s="3"/>
    </row>
    <row r="7" spans="1:23" s="76" customFormat="1" ht="12.75">
      <c r="A7" s="66"/>
      <c r="B7" s="67"/>
      <c r="C7" s="67"/>
      <c r="D7" s="68">
        <f>SUM(D6:D6)</f>
        <v>144</v>
      </c>
      <c r="E7" s="69"/>
      <c r="F7" s="70"/>
      <c r="G7" s="71"/>
      <c r="H7" s="67"/>
      <c r="I7" s="67"/>
      <c r="J7" s="68">
        <f>SUM(J6:J6)</f>
        <v>0</v>
      </c>
      <c r="K7" s="68">
        <f>SUM(K6:K6)</f>
        <v>0</v>
      </c>
      <c r="L7" s="72"/>
      <c r="M7" s="73"/>
      <c r="N7" s="73"/>
      <c r="O7" s="74"/>
      <c r="P7" s="69"/>
      <c r="Q7" s="55">
        <f t="shared" si="0"/>
      </c>
      <c r="R7" s="12">
        <f t="shared" si="1"/>
      </c>
      <c r="S7" s="12">
        <f t="shared" si="2"/>
      </c>
      <c r="T7" s="54">
        <f t="shared" si="3"/>
        <v>0</v>
      </c>
      <c r="U7" s="3"/>
      <c r="V7" s="3"/>
      <c r="W7" s="3"/>
    </row>
    <row r="8" spans="1:23" s="76" customFormat="1" ht="12.75">
      <c r="A8" s="123">
        <v>2</v>
      </c>
      <c r="B8" s="121">
        <v>39239.333333333336</v>
      </c>
      <c r="C8" s="121">
        <v>39245.333333333336</v>
      </c>
      <c r="D8" s="75">
        <f>(C8-B8)*24</f>
        <v>144</v>
      </c>
      <c r="E8" s="124" t="s">
        <v>87</v>
      </c>
      <c r="F8" s="125"/>
      <c r="G8" s="126"/>
      <c r="H8" s="121"/>
      <c r="I8" s="121"/>
      <c r="J8" s="75">
        <f>(I8-H8)*24</f>
        <v>0</v>
      </c>
      <c r="K8" s="75">
        <f>(I8-H8)*24</f>
        <v>0</v>
      </c>
      <c r="L8" s="127" t="s">
        <v>24</v>
      </c>
      <c r="M8" s="127"/>
      <c r="N8" s="127"/>
      <c r="O8" s="128"/>
      <c r="P8" s="124"/>
      <c r="Q8" s="12">
        <f t="shared" si="0"/>
      </c>
      <c r="R8" s="12">
        <f t="shared" si="1"/>
        <v>1</v>
      </c>
      <c r="S8" s="12">
        <f t="shared" si="2"/>
      </c>
      <c r="T8" s="54">
        <f t="shared" si="3"/>
        <v>1</v>
      </c>
      <c r="U8" s="3"/>
      <c r="V8" s="3"/>
      <c r="W8" s="3"/>
    </row>
    <row r="9" spans="1:23" s="76" customFormat="1" ht="12.75">
      <c r="A9" s="66"/>
      <c r="B9" s="67"/>
      <c r="C9" s="67"/>
      <c r="D9" s="68">
        <f>SUM(D8:D8)</f>
        <v>144</v>
      </c>
      <c r="E9" s="69"/>
      <c r="F9" s="70"/>
      <c r="G9" s="71"/>
      <c r="H9" s="67"/>
      <c r="I9" s="67"/>
      <c r="J9" s="68">
        <f>SUM(J8:J8)</f>
        <v>0</v>
      </c>
      <c r="K9" s="68">
        <f>SUM(K8:K8)</f>
        <v>0</v>
      </c>
      <c r="L9" s="72"/>
      <c r="M9" s="73"/>
      <c r="N9" s="73"/>
      <c r="O9" s="74"/>
      <c r="P9" s="69"/>
      <c r="Q9" s="55">
        <f t="shared" si="0"/>
      </c>
      <c r="R9" s="12">
        <f t="shared" si="1"/>
      </c>
      <c r="S9" s="12">
        <f t="shared" si="2"/>
      </c>
      <c r="T9" s="54">
        <f t="shared" si="3"/>
        <v>0</v>
      </c>
      <c r="U9" s="3"/>
      <c r="V9" s="3"/>
      <c r="W9" s="3"/>
    </row>
    <row r="10" spans="1:23" s="76" customFormat="1" ht="12.75">
      <c r="A10" s="123"/>
      <c r="B10" s="121"/>
      <c r="C10" s="121"/>
      <c r="D10" s="75">
        <f>(C10-B10)*24</f>
        <v>0</v>
      </c>
      <c r="E10" s="124" t="s">
        <v>89</v>
      </c>
      <c r="F10" s="125">
        <v>105264</v>
      </c>
      <c r="G10" s="126"/>
      <c r="H10" s="121">
        <v>39246.333333333336</v>
      </c>
      <c r="I10" s="121">
        <v>39246.34305555555</v>
      </c>
      <c r="J10" s="75">
        <f>(I10-H10)*24</f>
        <v>0.23333333322079852</v>
      </c>
      <c r="K10" s="75">
        <f>(I10-H10)*24</f>
        <v>0.23333333322079852</v>
      </c>
      <c r="L10" s="127" t="s">
        <v>84</v>
      </c>
      <c r="M10" s="129" t="s">
        <v>84</v>
      </c>
      <c r="N10" s="129" t="s">
        <v>84</v>
      </c>
      <c r="O10" s="128" t="s">
        <v>93</v>
      </c>
      <c r="P10" s="124"/>
      <c r="Q10" s="12">
        <f t="shared" si="0"/>
      </c>
      <c r="R10" s="12">
        <f t="shared" si="1"/>
      </c>
      <c r="S10" s="12">
        <f t="shared" si="2"/>
        <v>1</v>
      </c>
      <c r="T10" s="54">
        <f t="shared" si="3"/>
        <v>1</v>
      </c>
      <c r="U10" s="3"/>
      <c r="V10" s="3"/>
      <c r="W10" s="3"/>
    </row>
    <row r="11" spans="1:23" s="85" customFormat="1" ht="12.75">
      <c r="A11" s="92">
        <v>3</v>
      </c>
      <c r="B11" s="86">
        <v>39246.34305555555</v>
      </c>
      <c r="C11" s="86">
        <v>39246.4625</v>
      </c>
      <c r="D11" s="81">
        <f>(C11-B11)*24</f>
        <v>2.8666666667559184</v>
      </c>
      <c r="E11" s="87" t="s">
        <v>88</v>
      </c>
      <c r="F11" s="88">
        <v>105266</v>
      </c>
      <c r="G11" s="89"/>
      <c r="H11" s="86">
        <v>39246.4625</v>
      </c>
      <c r="I11" s="86">
        <v>39246.51666666667</v>
      </c>
      <c r="J11" s="81">
        <f>(I11-H11)*24</f>
        <v>1.3000000000465661</v>
      </c>
      <c r="K11" s="81">
        <f>(I11-H11)*24</f>
        <v>1.3000000000465661</v>
      </c>
      <c r="L11" s="90" t="s">
        <v>90</v>
      </c>
      <c r="M11" s="90" t="s">
        <v>91</v>
      </c>
      <c r="N11" s="90" t="s">
        <v>92</v>
      </c>
      <c r="O11" s="91" t="s">
        <v>26</v>
      </c>
      <c r="P11" s="87"/>
      <c r="Q11" s="82">
        <f t="shared" si="0"/>
        <v>1</v>
      </c>
      <c r="R11" s="82">
        <f t="shared" si="1"/>
      </c>
      <c r="S11" s="82">
        <f t="shared" si="2"/>
      </c>
      <c r="T11" s="83">
        <f t="shared" si="3"/>
        <v>1</v>
      </c>
      <c r="U11" s="84"/>
      <c r="V11" s="84"/>
      <c r="W11" s="84"/>
    </row>
    <row r="12" spans="1:23" s="76" customFormat="1" ht="12.75">
      <c r="A12" s="123">
        <v>4</v>
      </c>
      <c r="B12" s="121">
        <v>39246.51666666667</v>
      </c>
      <c r="C12" s="121">
        <v>39246.86666666667</v>
      </c>
      <c r="D12" s="75">
        <f>(C12-B12)*24</f>
        <v>8.399999999965075</v>
      </c>
      <c r="E12" s="124" t="s">
        <v>94</v>
      </c>
      <c r="F12" s="125">
        <v>105267</v>
      </c>
      <c r="G12" s="126"/>
      <c r="H12" s="121">
        <v>39246.86666666667</v>
      </c>
      <c r="I12" s="121">
        <v>39246.88333333333</v>
      </c>
      <c r="J12" s="75">
        <f>(I12-H12)*24</f>
        <v>0.39999999990686774</v>
      </c>
      <c r="K12" s="75">
        <f>(I12-H12)*24</f>
        <v>0.39999999990686774</v>
      </c>
      <c r="L12" s="127" t="s">
        <v>38</v>
      </c>
      <c r="M12" s="127" t="s">
        <v>38</v>
      </c>
      <c r="N12" s="127" t="s">
        <v>38</v>
      </c>
      <c r="O12" s="128" t="s">
        <v>26</v>
      </c>
      <c r="P12" s="124"/>
      <c r="Q12" s="12">
        <f t="shared" si="0"/>
        <v>1</v>
      </c>
      <c r="R12" s="12">
        <f t="shared" si="1"/>
      </c>
      <c r="S12" s="12">
        <f t="shared" si="2"/>
      </c>
      <c r="T12" s="54">
        <f t="shared" si="3"/>
        <v>1</v>
      </c>
      <c r="U12" s="3"/>
      <c r="V12" s="3"/>
      <c r="W12" s="3"/>
    </row>
    <row r="13" spans="1:23" s="85" customFormat="1" ht="12.75">
      <c r="A13" s="92">
        <v>5</v>
      </c>
      <c r="B13" s="86">
        <v>39246.88333333333</v>
      </c>
      <c r="C13" s="86">
        <v>39250.217361111114</v>
      </c>
      <c r="D13" s="81">
        <f>(C13-B13)*24</f>
        <v>80.0166666667792</v>
      </c>
      <c r="E13" s="87" t="s">
        <v>95</v>
      </c>
      <c r="F13" s="88">
        <v>105268</v>
      </c>
      <c r="G13" s="89"/>
      <c r="H13" s="86">
        <v>39250.217361111114</v>
      </c>
      <c r="I13" s="86">
        <v>39250.275</v>
      </c>
      <c r="J13" s="81">
        <f>(I13-H13)*24</f>
        <v>1.3833333333022892</v>
      </c>
      <c r="K13" s="81">
        <f>(I13-H13)*24</f>
        <v>1.3833333333022892</v>
      </c>
      <c r="L13" s="90" t="s">
        <v>36</v>
      </c>
      <c r="M13" s="90" t="s">
        <v>36</v>
      </c>
      <c r="N13" s="90" t="s">
        <v>36</v>
      </c>
      <c r="O13" s="91" t="s">
        <v>26</v>
      </c>
      <c r="P13" s="87"/>
      <c r="Q13" s="82">
        <f t="shared" si="0"/>
        <v>1</v>
      </c>
      <c r="R13" s="82">
        <f t="shared" si="1"/>
      </c>
      <c r="S13" s="82">
        <f t="shared" si="2"/>
      </c>
      <c r="T13" s="83">
        <f t="shared" si="3"/>
        <v>1</v>
      </c>
      <c r="U13" s="84"/>
      <c r="V13" s="84"/>
      <c r="W13" s="84"/>
    </row>
    <row r="14" spans="1:23" s="76" customFormat="1" ht="12.75">
      <c r="A14" s="123">
        <v>6</v>
      </c>
      <c r="B14" s="121">
        <v>39250.275</v>
      </c>
      <c r="C14" s="121">
        <v>39251.333333333336</v>
      </c>
      <c r="D14" s="75">
        <f>(C14-B14)*24</f>
        <v>25.400000000023283</v>
      </c>
      <c r="E14" s="124" t="s">
        <v>87</v>
      </c>
      <c r="F14" s="125"/>
      <c r="G14" s="126"/>
      <c r="H14" s="121"/>
      <c r="I14" s="121"/>
      <c r="J14" s="75">
        <f>(I14-H14)*24</f>
        <v>0</v>
      </c>
      <c r="K14" s="75">
        <f>(I14-H14)*24</f>
        <v>0</v>
      </c>
      <c r="L14" s="127" t="s">
        <v>24</v>
      </c>
      <c r="M14" s="127"/>
      <c r="N14" s="127"/>
      <c r="O14" s="128"/>
      <c r="P14" s="124"/>
      <c r="Q14" s="12">
        <f t="shared" si="0"/>
      </c>
      <c r="R14" s="12">
        <f t="shared" si="1"/>
        <v>1</v>
      </c>
      <c r="S14" s="12">
        <f t="shared" si="2"/>
      </c>
      <c r="T14" s="54">
        <f t="shared" si="3"/>
        <v>1</v>
      </c>
      <c r="U14" s="3"/>
      <c r="V14" s="3"/>
      <c r="W14" s="3"/>
    </row>
    <row r="15" spans="1:23" s="76" customFormat="1" ht="12.75">
      <c r="A15" s="66"/>
      <c r="B15" s="67"/>
      <c r="C15" s="67"/>
      <c r="D15" s="68">
        <f>SUM(D10:D14)</f>
        <v>116.68333333352348</v>
      </c>
      <c r="E15" s="69"/>
      <c r="F15" s="70"/>
      <c r="G15" s="71"/>
      <c r="H15" s="67"/>
      <c r="I15" s="67"/>
      <c r="J15" s="68">
        <f>SUM(J10:J14)</f>
        <v>3.3166666664765216</v>
      </c>
      <c r="K15" s="68">
        <f>SUM(K10:K14)</f>
        <v>3.3166666664765216</v>
      </c>
      <c r="L15" s="72"/>
      <c r="M15" s="73"/>
      <c r="N15" s="73"/>
      <c r="O15" s="74"/>
      <c r="P15" s="69"/>
      <c r="Q15" s="55">
        <f t="shared" si="0"/>
      </c>
      <c r="R15" s="12">
        <f t="shared" si="1"/>
      </c>
      <c r="S15" s="12">
        <f t="shared" si="2"/>
      </c>
      <c r="T15" s="54">
        <f t="shared" si="3"/>
        <v>0</v>
      </c>
      <c r="U15" s="3"/>
      <c r="V15" s="3"/>
      <c r="W15" s="3"/>
    </row>
    <row r="16" spans="1:23" s="85" customFormat="1" ht="12.75">
      <c r="A16" s="92">
        <v>7</v>
      </c>
      <c r="B16" s="86">
        <v>39253.333333333336</v>
      </c>
      <c r="C16" s="86">
        <v>39255.138194444444</v>
      </c>
      <c r="D16" s="81">
        <f>(C16-B16)*24</f>
        <v>43.31666666659294</v>
      </c>
      <c r="E16" s="87" t="s">
        <v>96</v>
      </c>
      <c r="F16" s="88">
        <v>105271</v>
      </c>
      <c r="G16" s="89"/>
      <c r="H16" s="86">
        <v>39255.138194444444</v>
      </c>
      <c r="I16" s="86">
        <v>39255.24097222222</v>
      </c>
      <c r="J16" s="81">
        <f>(I16-H16)*24</f>
        <v>2.4666666666744277</v>
      </c>
      <c r="K16" s="81">
        <f>(I16-H16)*24</f>
        <v>2.4666666666744277</v>
      </c>
      <c r="L16" s="90" t="s">
        <v>36</v>
      </c>
      <c r="M16" s="90" t="s">
        <v>36</v>
      </c>
      <c r="N16" s="90" t="s">
        <v>36</v>
      </c>
      <c r="O16" s="91" t="s">
        <v>26</v>
      </c>
      <c r="P16" s="87"/>
      <c r="Q16" s="82">
        <f t="shared" si="0"/>
        <v>1</v>
      </c>
      <c r="R16" s="82">
        <f t="shared" si="1"/>
      </c>
      <c r="S16" s="82">
        <f t="shared" si="2"/>
      </c>
      <c r="T16" s="83">
        <f>SUM(Q16:S16)</f>
        <v>1</v>
      </c>
      <c r="U16" s="84"/>
      <c r="V16" s="84"/>
      <c r="W16" s="84"/>
    </row>
    <row r="17" spans="1:23" s="76" customFormat="1" ht="12.75">
      <c r="A17" s="123">
        <v>8</v>
      </c>
      <c r="B17" s="121">
        <v>39255.24097222222</v>
      </c>
      <c r="C17" s="121">
        <v>39259.333333333336</v>
      </c>
      <c r="D17" s="75">
        <f>(C17-B17)*24</f>
        <v>98.21666666673264</v>
      </c>
      <c r="E17" s="124" t="s">
        <v>87</v>
      </c>
      <c r="F17" s="125"/>
      <c r="G17" s="126"/>
      <c r="H17" s="121"/>
      <c r="I17" s="121"/>
      <c r="J17" s="75">
        <f>(I17-H17)*24</f>
        <v>0</v>
      </c>
      <c r="K17" s="75">
        <f>(I17-H17)*24</f>
        <v>0</v>
      </c>
      <c r="L17" s="127" t="s">
        <v>24</v>
      </c>
      <c r="M17" s="127"/>
      <c r="N17" s="127"/>
      <c r="O17" s="128"/>
      <c r="P17" s="124"/>
      <c r="Q17" s="12">
        <f t="shared" si="0"/>
      </c>
      <c r="R17" s="12">
        <f t="shared" si="1"/>
        <v>1</v>
      </c>
      <c r="S17" s="12">
        <f t="shared" si="2"/>
      </c>
      <c r="T17" s="54">
        <f>SUM(Q17:S17)</f>
        <v>1</v>
      </c>
      <c r="U17" s="3"/>
      <c r="V17" s="3"/>
      <c r="W17" s="3"/>
    </row>
    <row r="18" spans="1:23" s="76" customFormat="1" ht="12.75">
      <c r="A18" s="66"/>
      <c r="B18" s="67"/>
      <c r="C18" s="67"/>
      <c r="D18" s="68">
        <f>SUM(D16:D17)</f>
        <v>141.53333333332557</v>
      </c>
      <c r="E18" s="69"/>
      <c r="F18" s="70"/>
      <c r="G18" s="71"/>
      <c r="H18" s="67"/>
      <c r="I18" s="67"/>
      <c r="J18" s="68">
        <f>SUM(J16:J17)</f>
        <v>2.4666666666744277</v>
      </c>
      <c r="K18" s="68">
        <f>SUM(K16:K17)</f>
        <v>2.4666666666744277</v>
      </c>
      <c r="L18" s="72"/>
      <c r="M18" s="73"/>
      <c r="N18" s="73"/>
      <c r="O18" s="74"/>
      <c r="P18" s="69"/>
      <c r="Q18" s="55">
        <f t="shared" si="0"/>
      </c>
      <c r="R18" s="12">
        <f t="shared" si="1"/>
      </c>
      <c r="S18" s="12">
        <f t="shared" si="2"/>
      </c>
      <c r="T18" s="54">
        <f>SUM(Q18:S18)</f>
        <v>0</v>
      </c>
      <c r="U18" s="3"/>
      <c r="V18" s="3"/>
      <c r="W18" s="3"/>
    </row>
    <row r="19" spans="1:23" s="76" customFormat="1" ht="12.75">
      <c r="A19" s="123">
        <v>9</v>
      </c>
      <c r="B19" s="121">
        <v>39260.333333333336</v>
      </c>
      <c r="C19" s="121">
        <v>39262.275</v>
      </c>
      <c r="D19" s="75">
        <f aca="true" t="shared" si="4" ref="D19:D24">(C19-B19)*24</f>
        <v>46.59999999997672</v>
      </c>
      <c r="E19" s="124" t="s">
        <v>97</v>
      </c>
      <c r="F19" s="125">
        <v>105272</v>
      </c>
      <c r="G19" s="126"/>
      <c r="H19" s="121">
        <v>39262.275</v>
      </c>
      <c r="I19" s="121">
        <v>39262.364583333336</v>
      </c>
      <c r="J19" s="75">
        <f aca="true" t="shared" si="5" ref="J19:J24">(I19-H19)*24</f>
        <v>2.150000000023283</v>
      </c>
      <c r="K19" s="75">
        <f aca="true" t="shared" si="6" ref="K19:K24">(I19-H19)*24</f>
        <v>2.150000000023283</v>
      </c>
      <c r="L19" s="127" t="s">
        <v>85</v>
      </c>
      <c r="M19" s="129" t="s">
        <v>85</v>
      </c>
      <c r="N19" s="129" t="s">
        <v>85</v>
      </c>
      <c r="O19" s="128" t="s">
        <v>26</v>
      </c>
      <c r="P19" s="124"/>
      <c r="Q19" s="12">
        <f t="shared" si="0"/>
        <v>1</v>
      </c>
      <c r="R19" s="12">
        <f t="shared" si="1"/>
      </c>
      <c r="S19" s="12">
        <f t="shared" si="2"/>
      </c>
      <c r="T19" s="54">
        <f aca="true" t="shared" si="7" ref="T19:T25">SUM(Q19:S19)</f>
        <v>1</v>
      </c>
      <c r="U19" s="3"/>
      <c r="V19" s="3"/>
      <c r="W19" s="3"/>
    </row>
    <row r="20" spans="1:23" s="85" customFormat="1" ht="12.75">
      <c r="A20" s="92">
        <v>10</v>
      </c>
      <c r="B20" s="86">
        <v>39262.364583333336</v>
      </c>
      <c r="C20" s="86">
        <v>39262.53402777778</v>
      </c>
      <c r="D20" s="81">
        <f t="shared" si="4"/>
        <v>4.066666666651145</v>
      </c>
      <c r="E20" s="87" t="s">
        <v>104</v>
      </c>
      <c r="F20" s="88">
        <v>105273</v>
      </c>
      <c r="G20" s="89"/>
      <c r="H20" s="86">
        <v>39262.53402777778</v>
      </c>
      <c r="I20" s="86">
        <v>39262.56180555555</v>
      </c>
      <c r="J20" s="81">
        <f t="shared" si="5"/>
        <v>0.6666666665696539</v>
      </c>
      <c r="K20" s="81">
        <f t="shared" si="6"/>
        <v>0.6666666665696539</v>
      </c>
      <c r="L20" s="90" t="s">
        <v>105</v>
      </c>
      <c r="M20" s="90" t="s">
        <v>105</v>
      </c>
      <c r="N20" s="90" t="s">
        <v>105</v>
      </c>
      <c r="O20" s="91" t="s">
        <v>26</v>
      </c>
      <c r="P20" s="87"/>
      <c r="Q20" s="82">
        <f t="shared" si="0"/>
        <v>1</v>
      </c>
      <c r="R20" s="82">
        <f t="shared" si="1"/>
      </c>
      <c r="S20" s="82">
        <f t="shared" si="2"/>
      </c>
      <c r="T20" s="83">
        <f t="shared" si="7"/>
        <v>1</v>
      </c>
      <c r="U20" s="84"/>
      <c r="V20" s="84"/>
      <c r="W20" s="84"/>
    </row>
    <row r="21" spans="1:23" s="76" customFormat="1" ht="12.75">
      <c r="A21" s="123">
        <v>11</v>
      </c>
      <c r="B21" s="121">
        <v>39262.56180555555</v>
      </c>
      <c r="C21" s="121">
        <v>39263.904861111114</v>
      </c>
      <c r="D21" s="75">
        <f t="shared" si="4"/>
        <v>32.23333333345363</v>
      </c>
      <c r="E21" s="124" t="s">
        <v>98</v>
      </c>
      <c r="F21" s="125">
        <v>105274</v>
      </c>
      <c r="G21" s="126"/>
      <c r="H21" s="121">
        <v>39263.904861111114</v>
      </c>
      <c r="I21" s="121">
        <v>39263.94375</v>
      </c>
      <c r="J21" s="75">
        <f t="shared" si="5"/>
        <v>0.93333333323244</v>
      </c>
      <c r="K21" s="75">
        <f t="shared" si="6"/>
        <v>0.93333333323244</v>
      </c>
      <c r="L21" s="127" t="s">
        <v>38</v>
      </c>
      <c r="M21" s="127" t="s">
        <v>38</v>
      </c>
      <c r="N21" s="127" t="s">
        <v>38</v>
      </c>
      <c r="O21" s="128" t="s">
        <v>26</v>
      </c>
      <c r="P21" s="124"/>
      <c r="Q21" s="12">
        <f t="shared" si="0"/>
        <v>1</v>
      </c>
      <c r="R21" s="12">
        <f t="shared" si="1"/>
      </c>
      <c r="S21" s="12">
        <f t="shared" si="2"/>
      </c>
      <c r="T21" s="54">
        <f t="shared" si="7"/>
        <v>1</v>
      </c>
      <c r="U21" s="3"/>
      <c r="V21" s="3"/>
      <c r="W21" s="3"/>
    </row>
    <row r="22" spans="1:23" s="85" customFormat="1" ht="12.75">
      <c r="A22" s="92">
        <v>12</v>
      </c>
      <c r="B22" s="86">
        <v>39263.94375</v>
      </c>
      <c r="C22" s="86">
        <v>39264.39236111111</v>
      </c>
      <c r="D22" s="81">
        <f t="shared" si="4"/>
        <v>10.766666666662786</v>
      </c>
      <c r="E22" s="87" t="s">
        <v>99</v>
      </c>
      <c r="F22" s="88">
        <v>105275</v>
      </c>
      <c r="G22" s="89"/>
      <c r="H22" s="86">
        <v>39264.39236111111</v>
      </c>
      <c r="I22" s="86">
        <v>39264.430555555555</v>
      </c>
      <c r="J22" s="81">
        <f t="shared" si="5"/>
        <v>0.9166666666860692</v>
      </c>
      <c r="K22" s="81">
        <f t="shared" si="6"/>
        <v>0.9166666666860692</v>
      </c>
      <c r="L22" s="90" t="s">
        <v>36</v>
      </c>
      <c r="M22" s="90" t="s">
        <v>36</v>
      </c>
      <c r="N22" s="90" t="s">
        <v>36</v>
      </c>
      <c r="O22" s="91" t="s">
        <v>26</v>
      </c>
      <c r="P22" s="87"/>
      <c r="Q22" s="82">
        <f t="shared" si="0"/>
        <v>1</v>
      </c>
      <c r="R22" s="82">
        <f t="shared" si="1"/>
      </c>
      <c r="S22" s="82">
        <f t="shared" si="2"/>
      </c>
      <c r="T22" s="83">
        <f t="shared" si="7"/>
        <v>1</v>
      </c>
      <c r="U22" s="84"/>
      <c r="V22" s="84"/>
      <c r="W22" s="84"/>
    </row>
    <row r="23" spans="1:23" s="76" customFormat="1" ht="12.75">
      <c r="A23" s="123">
        <v>13</v>
      </c>
      <c r="B23" s="121">
        <v>39264.430555555555</v>
      </c>
      <c r="C23" s="121">
        <v>39266.64791666667</v>
      </c>
      <c r="D23" s="75">
        <f t="shared" si="4"/>
        <v>53.216666666732635</v>
      </c>
      <c r="E23" s="124" t="s">
        <v>100</v>
      </c>
      <c r="F23" s="125">
        <v>105276</v>
      </c>
      <c r="G23" s="126"/>
      <c r="H23" s="121">
        <v>39266.64791666667</v>
      </c>
      <c r="I23" s="121">
        <v>39266.69027777778</v>
      </c>
      <c r="J23" s="75">
        <f t="shared" si="5"/>
        <v>1.0166666666627862</v>
      </c>
      <c r="K23" s="75">
        <f t="shared" si="6"/>
        <v>1.0166666666627862</v>
      </c>
      <c r="L23" s="127" t="s">
        <v>38</v>
      </c>
      <c r="M23" s="127" t="s">
        <v>38</v>
      </c>
      <c r="N23" s="127" t="s">
        <v>38</v>
      </c>
      <c r="O23" s="128" t="s">
        <v>26</v>
      </c>
      <c r="P23" s="124"/>
      <c r="Q23" s="12">
        <f t="shared" si="0"/>
        <v>1</v>
      </c>
      <c r="R23" s="12">
        <f t="shared" si="1"/>
      </c>
      <c r="S23" s="12">
        <f t="shared" si="2"/>
      </c>
      <c r="T23" s="54">
        <f t="shared" si="7"/>
        <v>1</v>
      </c>
      <c r="U23" s="3"/>
      <c r="V23" s="3"/>
      <c r="W23" s="3"/>
    </row>
    <row r="24" spans="1:23" s="85" customFormat="1" ht="12.75">
      <c r="A24" s="92">
        <v>14</v>
      </c>
      <c r="B24" s="86">
        <v>39266.69027777778</v>
      </c>
      <c r="C24" s="86">
        <v>39267.333333333336</v>
      </c>
      <c r="D24" s="81">
        <f t="shared" si="4"/>
        <v>15.433333333348855</v>
      </c>
      <c r="E24" s="87" t="s">
        <v>87</v>
      </c>
      <c r="F24" s="88"/>
      <c r="G24" s="89"/>
      <c r="H24" s="86"/>
      <c r="I24" s="86"/>
      <c r="J24" s="81">
        <f t="shared" si="5"/>
        <v>0</v>
      </c>
      <c r="K24" s="81">
        <f t="shared" si="6"/>
        <v>0</v>
      </c>
      <c r="L24" s="90" t="s">
        <v>24</v>
      </c>
      <c r="M24" s="90"/>
      <c r="N24" s="90"/>
      <c r="O24" s="91"/>
      <c r="P24" s="87"/>
      <c r="Q24" s="82">
        <f t="shared" si="0"/>
      </c>
      <c r="R24" s="82">
        <f t="shared" si="1"/>
        <v>1</v>
      </c>
      <c r="S24" s="82">
        <f t="shared" si="2"/>
      </c>
      <c r="T24" s="83">
        <f>SUM(Q24:S24)</f>
        <v>1</v>
      </c>
      <c r="U24" s="84"/>
      <c r="V24" s="84"/>
      <c r="W24" s="84"/>
    </row>
    <row r="25" spans="1:23" s="76" customFormat="1" ht="12.75">
      <c r="A25" s="66"/>
      <c r="B25" s="67"/>
      <c r="C25" s="67"/>
      <c r="D25" s="68">
        <f>SUM(D19:D24)</f>
        <v>162.31666666682577</v>
      </c>
      <c r="E25" s="69"/>
      <c r="F25" s="70"/>
      <c r="G25" s="71"/>
      <c r="H25" s="67"/>
      <c r="I25" s="67"/>
      <c r="J25" s="68">
        <f>SUM(J19:J24)</f>
        <v>5.683333333174232</v>
      </c>
      <c r="K25" s="68">
        <f>SUM(K19:K24)</f>
        <v>5.683333333174232</v>
      </c>
      <c r="L25" s="72"/>
      <c r="M25" s="73"/>
      <c r="N25" s="73"/>
      <c r="O25" s="74"/>
      <c r="P25" s="69"/>
      <c r="Q25" s="55">
        <f t="shared" si="0"/>
      </c>
      <c r="R25" s="12">
        <f t="shared" si="1"/>
      </c>
      <c r="S25" s="12">
        <f t="shared" si="2"/>
      </c>
      <c r="T25" s="54">
        <f t="shared" si="7"/>
        <v>0</v>
      </c>
      <c r="U25" s="3"/>
      <c r="V25" s="3"/>
      <c r="W25" s="3"/>
    </row>
    <row r="26" spans="1:23" s="85" customFormat="1" ht="12.75">
      <c r="A26" s="92">
        <v>15</v>
      </c>
      <c r="B26" s="86">
        <v>39268.333333333336</v>
      </c>
      <c r="C26" s="86">
        <v>39268.87777777778</v>
      </c>
      <c r="D26" s="81">
        <f>(C26-B26)*24</f>
        <v>13.066666666651145</v>
      </c>
      <c r="E26" s="87" t="s">
        <v>101</v>
      </c>
      <c r="F26" s="88">
        <v>105278</v>
      </c>
      <c r="G26" s="89"/>
      <c r="H26" s="86">
        <v>39268.87777777778</v>
      </c>
      <c r="I26" s="86">
        <v>39268.96597222222</v>
      </c>
      <c r="J26" s="81">
        <f>(I26-H26)*24</f>
        <v>2.1166666665812954</v>
      </c>
      <c r="K26" s="81">
        <f>(I26-H26)*24</f>
        <v>2.1166666665812954</v>
      </c>
      <c r="L26" s="90" t="s">
        <v>85</v>
      </c>
      <c r="M26" s="90" t="s">
        <v>85</v>
      </c>
      <c r="N26" s="90" t="s">
        <v>85</v>
      </c>
      <c r="O26" s="91" t="s">
        <v>26</v>
      </c>
      <c r="P26" s="87"/>
      <c r="Q26" s="82">
        <f t="shared" si="0"/>
        <v>1</v>
      </c>
      <c r="R26" s="82">
        <f t="shared" si="1"/>
      </c>
      <c r="S26" s="82">
        <f t="shared" si="2"/>
      </c>
      <c r="T26" s="83">
        <f aca="true" t="shared" si="8" ref="T26:T32">SUM(Q26:S26)</f>
        <v>1</v>
      </c>
      <c r="U26" s="84"/>
      <c r="V26" s="84"/>
      <c r="W26" s="84"/>
    </row>
    <row r="27" spans="1:23" s="76" customFormat="1" ht="12.75">
      <c r="A27" s="123">
        <v>16</v>
      </c>
      <c r="B27" s="121">
        <v>39268.96597222222</v>
      </c>
      <c r="C27" s="121">
        <v>39273.333333333336</v>
      </c>
      <c r="D27" s="75">
        <f>(C27-B27)*24</f>
        <v>104.81666666676756</v>
      </c>
      <c r="E27" s="124" t="s">
        <v>87</v>
      </c>
      <c r="F27" s="125"/>
      <c r="G27" s="126"/>
      <c r="H27" s="121"/>
      <c r="I27" s="121"/>
      <c r="J27" s="75">
        <f>(I27-H27)*24</f>
        <v>0</v>
      </c>
      <c r="K27" s="75">
        <f>(I27-H27)*24</f>
        <v>0</v>
      </c>
      <c r="L27" s="127" t="s">
        <v>24</v>
      </c>
      <c r="M27" s="127"/>
      <c r="N27" s="127"/>
      <c r="O27" s="128"/>
      <c r="P27" s="124"/>
      <c r="Q27" s="12">
        <f t="shared" si="0"/>
      </c>
      <c r="R27" s="12">
        <f t="shared" si="1"/>
        <v>1</v>
      </c>
      <c r="S27" s="12">
        <f t="shared" si="2"/>
      </c>
      <c r="T27" s="54">
        <f t="shared" si="8"/>
        <v>1</v>
      </c>
      <c r="U27" s="3"/>
      <c r="V27" s="3"/>
      <c r="W27" s="3"/>
    </row>
    <row r="28" spans="1:23" s="76" customFormat="1" ht="12.75">
      <c r="A28" s="66"/>
      <c r="B28" s="67"/>
      <c r="C28" s="67"/>
      <c r="D28" s="68">
        <f>SUM(D26:D27)</f>
        <v>117.8833333334187</v>
      </c>
      <c r="E28" s="69"/>
      <c r="F28" s="70"/>
      <c r="G28" s="71"/>
      <c r="H28" s="67"/>
      <c r="I28" s="67"/>
      <c r="J28" s="68">
        <f>SUM(J26:J27)</f>
        <v>2.1166666665812954</v>
      </c>
      <c r="K28" s="68">
        <f>SUM(K26:K27)</f>
        <v>2.1166666665812954</v>
      </c>
      <c r="L28" s="72"/>
      <c r="M28" s="73"/>
      <c r="N28" s="73"/>
      <c r="O28" s="74"/>
      <c r="P28" s="69"/>
      <c r="Q28" s="55">
        <f t="shared" si="0"/>
      </c>
      <c r="R28" s="12">
        <f t="shared" si="1"/>
      </c>
      <c r="S28" s="12">
        <f t="shared" si="2"/>
      </c>
      <c r="T28" s="54">
        <f t="shared" si="8"/>
        <v>0</v>
      </c>
      <c r="U28" s="3"/>
      <c r="V28" s="3"/>
      <c r="W28" s="3"/>
    </row>
    <row r="29" spans="1:23" s="76" customFormat="1" ht="12.75">
      <c r="A29" s="123">
        <v>17</v>
      </c>
      <c r="B29" s="121">
        <v>39274.333333333336</v>
      </c>
      <c r="C29" s="121">
        <v>39278.37013888889</v>
      </c>
      <c r="D29" s="75">
        <f>(C29-B29)*24</f>
        <v>96.88333333324408</v>
      </c>
      <c r="E29" s="124" t="s">
        <v>102</v>
      </c>
      <c r="F29" s="125">
        <v>105282</v>
      </c>
      <c r="G29" s="126"/>
      <c r="H29" s="121">
        <v>39278.37013888889</v>
      </c>
      <c r="I29" s="121">
        <v>39278.433333333334</v>
      </c>
      <c r="J29" s="75">
        <f>(I29-H29)*24</f>
        <v>1.5166666667209938</v>
      </c>
      <c r="K29" s="75">
        <f>(I29-H29)*24</f>
        <v>1.5166666667209938</v>
      </c>
      <c r="L29" s="127" t="s">
        <v>38</v>
      </c>
      <c r="M29" s="127" t="s">
        <v>38</v>
      </c>
      <c r="N29" s="127" t="s">
        <v>38</v>
      </c>
      <c r="O29" s="128" t="s">
        <v>26</v>
      </c>
      <c r="P29" s="124"/>
      <c r="Q29" s="12">
        <f t="shared" si="0"/>
        <v>1</v>
      </c>
      <c r="R29" s="12">
        <f t="shared" si="1"/>
      </c>
      <c r="S29" s="12">
        <f t="shared" si="2"/>
      </c>
      <c r="T29" s="54">
        <f t="shared" si="8"/>
        <v>1</v>
      </c>
      <c r="U29" s="3"/>
      <c r="V29" s="3"/>
      <c r="W29" s="3"/>
    </row>
    <row r="30" spans="1:23" s="85" customFormat="1" ht="12.75">
      <c r="A30" s="92">
        <v>18</v>
      </c>
      <c r="B30" s="86">
        <v>39278.433333333334</v>
      </c>
      <c r="C30" s="86">
        <v>39278.93472222222</v>
      </c>
      <c r="D30" s="81">
        <f>(C30-B30)*24</f>
        <v>12.033333333267365</v>
      </c>
      <c r="E30" s="87" t="s">
        <v>103</v>
      </c>
      <c r="F30" s="88">
        <v>105283</v>
      </c>
      <c r="G30" s="89"/>
      <c r="H30" s="86">
        <v>39278.93472222222</v>
      </c>
      <c r="I30" s="86">
        <v>39279.084027777775</v>
      </c>
      <c r="J30" s="81">
        <f>(I30-H30)*24</f>
        <v>3.583333333313931</v>
      </c>
      <c r="K30" s="81">
        <f>(I30-H30)*24</f>
        <v>3.583333333313931</v>
      </c>
      <c r="L30" s="90" t="s">
        <v>36</v>
      </c>
      <c r="M30" s="90" t="s">
        <v>36</v>
      </c>
      <c r="N30" s="90" t="s">
        <v>36</v>
      </c>
      <c r="O30" s="91" t="s">
        <v>26</v>
      </c>
      <c r="P30" s="87"/>
      <c r="Q30" s="82">
        <f t="shared" si="0"/>
        <v>1</v>
      </c>
      <c r="R30" s="82">
        <f t="shared" si="1"/>
      </c>
      <c r="S30" s="82">
        <f t="shared" si="2"/>
      </c>
      <c r="T30" s="83">
        <f t="shared" si="8"/>
        <v>1</v>
      </c>
      <c r="U30" s="84"/>
      <c r="V30" s="84"/>
      <c r="W30" s="84"/>
    </row>
    <row r="31" spans="1:23" s="76" customFormat="1" ht="12.75">
      <c r="A31" s="123">
        <v>19</v>
      </c>
      <c r="B31" s="121">
        <v>39279.084027777775</v>
      </c>
      <c r="C31" s="121">
        <v>39279.33263888889</v>
      </c>
      <c r="D31" s="75">
        <f>(C31-B31)*24</f>
        <v>5.966666666732635</v>
      </c>
      <c r="E31" s="124" t="s">
        <v>87</v>
      </c>
      <c r="F31" s="125"/>
      <c r="G31" s="126"/>
      <c r="H31" s="121"/>
      <c r="I31" s="121"/>
      <c r="J31" s="75">
        <f>(I31-H31)*24</f>
        <v>0</v>
      </c>
      <c r="K31" s="75">
        <f>(I31-H31)*24</f>
        <v>0</v>
      </c>
      <c r="L31" s="127" t="s">
        <v>24</v>
      </c>
      <c r="M31" s="127"/>
      <c r="N31" s="127"/>
      <c r="O31" s="128"/>
      <c r="P31" s="124"/>
      <c r="Q31" s="12">
        <f t="shared" si="0"/>
      </c>
      <c r="R31" s="12">
        <f t="shared" si="1"/>
        <v>1</v>
      </c>
      <c r="S31" s="12">
        <f t="shared" si="2"/>
      </c>
      <c r="T31" s="54">
        <f t="shared" si="8"/>
        <v>1</v>
      </c>
      <c r="U31" s="3"/>
      <c r="V31" s="3"/>
      <c r="W31" s="3"/>
    </row>
    <row r="32" spans="1:23" s="76" customFormat="1" ht="12.75">
      <c r="A32" s="66"/>
      <c r="B32" s="67"/>
      <c r="C32" s="67"/>
      <c r="D32" s="68">
        <f>SUM(D29:D31)</f>
        <v>114.88333333324408</v>
      </c>
      <c r="E32" s="69"/>
      <c r="F32" s="70"/>
      <c r="G32" s="71"/>
      <c r="H32" s="67"/>
      <c r="I32" s="67"/>
      <c r="J32" s="68">
        <f>SUM(J29:J31)</f>
        <v>5.100000000034925</v>
      </c>
      <c r="K32" s="68">
        <f>SUM(K29:K30)</f>
        <v>5.100000000034925</v>
      </c>
      <c r="L32" s="72"/>
      <c r="M32" s="73"/>
      <c r="N32" s="73"/>
      <c r="O32" s="74"/>
      <c r="P32" s="69"/>
      <c r="Q32" s="55">
        <f t="shared" si="0"/>
      </c>
      <c r="R32" s="12">
        <f t="shared" si="1"/>
      </c>
      <c r="S32" s="12">
        <f t="shared" si="2"/>
      </c>
      <c r="T32" s="54">
        <f t="shared" si="8"/>
        <v>0</v>
      </c>
      <c r="U32" s="3"/>
      <c r="V32" s="3"/>
      <c r="W32" s="3"/>
    </row>
    <row r="33" spans="1:23" s="85" customFormat="1" ht="12.75">
      <c r="A33" s="92">
        <v>20</v>
      </c>
      <c r="B33" s="86">
        <v>39281.333333333336</v>
      </c>
      <c r="C33" s="86">
        <v>39281.96527777778</v>
      </c>
      <c r="D33" s="81">
        <f>(C33-B33)*24</f>
        <v>15.16666666668607</v>
      </c>
      <c r="E33" s="87" t="s">
        <v>106</v>
      </c>
      <c r="F33" s="88">
        <v>105285</v>
      </c>
      <c r="G33" s="89"/>
      <c r="H33" s="86">
        <v>39281.96527777778</v>
      </c>
      <c r="I33" s="86">
        <v>39282.1875</v>
      </c>
      <c r="J33" s="81">
        <f>(I33-H33)*24</f>
        <v>5.333333333255723</v>
      </c>
      <c r="K33" s="81"/>
      <c r="L33" s="90"/>
      <c r="M33" s="90"/>
      <c r="N33" s="90"/>
      <c r="O33" s="91"/>
      <c r="P33" s="87"/>
      <c r="Q33" s="82">
        <f t="shared" si="0"/>
      </c>
      <c r="R33" s="82">
        <f t="shared" si="1"/>
      </c>
      <c r="S33" s="82">
        <f t="shared" si="2"/>
      </c>
      <c r="T33" s="83">
        <f aca="true" t="shared" si="9" ref="T33:T44">SUM(Q33:S33)</f>
        <v>0</v>
      </c>
      <c r="U33" s="84"/>
      <c r="V33" s="84"/>
      <c r="W33" s="84"/>
    </row>
    <row r="34" spans="1:23" s="76" customFormat="1" ht="12.75">
      <c r="A34" s="123"/>
      <c r="B34" s="121"/>
      <c r="C34" s="121"/>
      <c r="D34" s="75"/>
      <c r="E34" s="124"/>
      <c r="F34" s="125"/>
      <c r="G34" s="126"/>
      <c r="H34" s="139">
        <v>39281.96527777778</v>
      </c>
      <c r="I34" s="139">
        <v>39282.17361111111</v>
      </c>
      <c r="J34" s="140"/>
      <c r="K34" s="140">
        <f>(I34-H34)*24</f>
        <v>4.999999999883585</v>
      </c>
      <c r="L34" s="141" t="s">
        <v>110</v>
      </c>
      <c r="M34" s="141" t="s">
        <v>110</v>
      </c>
      <c r="N34" s="141" t="s">
        <v>110</v>
      </c>
      <c r="O34" s="142" t="s">
        <v>26</v>
      </c>
      <c r="P34" s="143" t="s">
        <v>111</v>
      </c>
      <c r="Q34" s="12">
        <f t="shared" si="0"/>
        <v>1</v>
      </c>
      <c r="R34" s="12">
        <f t="shared" si="1"/>
      </c>
      <c r="S34" s="12">
        <f t="shared" si="2"/>
      </c>
      <c r="T34" s="54"/>
      <c r="U34" s="3"/>
      <c r="V34" s="3"/>
      <c r="W34" s="3"/>
    </row>
    <row r="35" spans="1:23" s="76" customFormat="1" ht="12.75">
      <c r="A35" s="123"/>
      <c r="B35" s="121"/>
      <c r="C35" s="121"/>
      <c r="D35" s="75"/>
      <c r="E35" s="124"/>
      <c r="F35" s="125"/>
      <c r="G35" s="126"/>
      <c r="H35" s="144">
        <v>39282.17361111111</v>
      </c>
      <c r="I35" s="144">
        <v>39282.1875</v>
      </c>
      <c r="J35" s="145"/>
      <c r="K35" s="145">
        <f>(I35-H35)*24</f>
        <v>0.33333333337213844</v>
      </c>
      <c r="L35" s="146" t="s">
        <v>36</v>
      </c>
      <c r="M35" s="146" t="s">
        <v>36</v>
      </c>
      <c r="N35" s="146" t="s">
        <v>36</v>
      </c>
      <c r="O35" s="147" t="s">
        <v>93</v>
      </c>
      <c r="P35" s="148"/>
      <c r="Q35" s="12">
        <f t="shared" si="0"/>
      </c>
      <c r="R35" s="12">
        <f t="shared" si="1"/>
      </c>
      <c r="S35" s="12">
        <f t="shared" si="2"/>
        <v>1</v>
      </c>
      <c r="T35" s="54"/>
      <c r="U35" s="3"/>
      <c r="V35" s="3"/>
      <c r="W35" s="3"/>
    </row>
    <row r="36" spans="1:23" s="76" customFormat="1" ht="12.75">
      <c r="A36" s="123">
        <v>21</v>
      </c>
      <c r="B36" s="121">
        <v>39282.1875</v>
      </c>
      <c r="C36" s="121">
        <v>39287.333333333336</v>
      </c>
      <c r="D36" s="75">
        <f>(C36-B36)*24</f>
        <v>123.50000000005821</v>
      </c>
      <c r="E36" s="124" t="s">
        <v>87</v>
      </c>
      <c r="F36" s="125"/>
      <c r="G36" s="126"/>
      <c r="H36" s="121"/>
      <c r="I36" s="121"/>
      <c r="J36" s="75">
        <f>(I36-H36)*24</f>
        <v>0</v>
      </c>
      <c r="K36" s="75">
        <f>(I36-H36)*24</f>
        <v>0</v>
      </c>
      <c r="L36" s="127" t="s">
        <v>24</v>
      </c>
      <c r="M36" s="127"/>
      <c r="N36" s="127"/>
      <c r="O36" s="128"/>
      <c r="P36" s="124"/>
      <c r="Q36" s="12">
        <f t="shared" si="0"/>
      </c>
      <c r="R36" s="12">
        <f t="shared" si="1"/>
        <v>1</v>
      </c>
      <c r="S36" s="12">
        <f t="shared" si="2"/>
      </c>
      <c r="T36" s="54">
        <f t="shared" si="9"/>
        <v>1</v>
      </c>
      <c r="U36" s="3"/>
      <c r="V36" s="3"/>
      <c r="W36" s="3"/>
    </row>
    <row r="37" spans="1:23" s="76" customFormat="1" ht="12.75">
      <c r="A37" s="66"/>
      <c r="B37" s="67"/>
      <c r="C37" s="67"/>
      <c r="D37" s="68">
        <f>SUM(D33:D36)</f>
        <v>138.66666666674428</v>
      </c>
      <c r="E37" s="69"/>
      <c r="F37" s="70"/>
      <c r="G37" s="71"/>
      <c r="H37" s="67"/>
      <c r="I37" s="67"/>
      <c r="J37" s="68">
        <f>SUM(J33:J36)</f>
        <v>5.333333333255723</v>
      </c>
      <c r="K37" s="68">
        <f>SUM(K33:K36)</f>
        <v>5.333333333255723</v>
      </c>
      <c r="L37" s="72"/>
      <c r="M37" s="73"/>
      <c r="N37" s="73"/>
      <c r="O37" s="74"/>
      <c r="P37" s="69"/>
      <c r="Q37" s="55">
        <f t="shared" si="0"/>
      </c>
      <c r="R37" s="12">
        <f t="shared" si="1"/>
      </c>
      <c r="S37" s="12">
        <f t="shared" si="2"/>
      </c>
      <c r="T37" s="54">
        <f t="shared" si="9"/>
        <v>0</v>
      </c>
      <c r="U37" s="3"/>
      <c r="V37" s="3"/>
      <c r="W37" s="3"/>
    </row>
    <row r="38" spans="1:23" s="76" customFormat="1" ht="12.75">
      <c r="A38" s="123">
        <v>22</v>
      </c>
      <c r="B38" s="121">
        <v>39288.333333333336</v>
      </c>
      <c r="C38" s="121">
        <v>39288.455555555556</v>
      </c>
      <c r="D38" s="75">
        <f>(C38-B38)*24</f>
        <v>2.9333333332906477</v>
      </c>
      <c r="E38" s="124" t="s">
        <v>108</v>
      </c>
      <c r="F38" s="125">
        <v>105288</v>
      </c>
      <c r="G38" s="126"/>
      <c r="H38" s="121">
        <v>39288.455555555556</v>
      </c>
      <c r="I38" s="121">
        <v>39288.52638888889</v>
      </c>
      <c r="J38" s="75">
        <f>(I38-H38)*24</f>
        <v>1.6999999999534339</v>
      </c>
      <c r="K38" s="75">
        <f>(I38-H38)*24</f>
        <v>1.6999999999534339</v>
      </c>
      <c r="L38" s="127" t="s">
        <v>38</v>
      </c>
      <c r="M38" s="127" t="s">
        <v>38</v>
      </c>
      <c r="N38" s="127" t="s">
        <v>38</v>
      </c>
      <c r="O38" s="128" t="s">
        <v>26</v>
      </c>
      <c r="P38" s="124"/>
      <c r="Q38" s="12">
        <f t="shared" si="0"/>
        <v>1</v>
      </c>
      <c r="R38" s="12">
        <f t="shared" si="1"/>
      </c>
      <c r="S38" s="12">
        <f t="shared" si="2"/>
      </c>
      <c r="T38" s="54">
        <f t="shared" si="9"/>
        <v>1</v>
      </c>
      <c r="U38" s="3"/>
      <c r="V38" s="3"/>
      <c r="W38" s="3"/>
    </row>
    <row r="39" spans="1:23" s="85" customFormat="1" ht="12.75">
      <c r="A39" s="92">
        <v>23</v>
      </c>
      <c r="B39" s="86">
        <v>39288.52638888889</v>
      </c>
      <c r="C39" s="86">
        <v>39293.501388888886</v>
      </c>
      <c r="D39" s="81">
        <f>(C39-B39)*24</f>
        <v>119.39999999996508</v>
      </c>
      <c r="E39" s="87" t="s">
        <v>109</v>
      </c>
      <c r="F39" s="88">
        <v>105290</v>
      </c>
      <c r="G39" s="89"/>
      <c r="H39" s="86">
        <v>39293.501388888886</v>
      </c>
      <c r="I39" s="86">
        <v>39293.739583333336</v>
      </c>
      <c r="J39" s="81">
        <f>(I39-H39)*24</f>
        <v>5.716666666790843</v>
      </c>
      <c r="K39" s="81">
        <f>(I39-H39)*24</f>
        <v>5.716666666790843</v>
      </c>
      <c r="L39" s="90" t="s">
        <v>107</v>
      </c>
      <c r="M39" s="90" t="s">
        <v>91</v>
      </c>
      <c r="N39" s="90" t="s">
        <v>107</v>
      </c>
      <c r="O39" s="91" t="s">
        <v>26</v>
      </c>
      <c r="P39" s="87"/>
      <c r="Q39" s="82">
        <f t="shared" si="0"/>
        <v>1</v>
      </c>
      <c r="R39" s="82">
        <f t="shared" si="1"/>
      </c>
      <c r="S39" s="82">
        <f t="shared" si="2"/>
      </c>
      <c r="T39" s="83">
        <f t="shared" si="9"/>
        <v>1</v>
      </c>
      <c r="U39" s="84"/>
      <c r="V39" s="84"/>
      <c r="W39" s="84"/>
    </row>
    <row r="40" spans="1:23" s="76" customFormat="1" ht="12.75">
      <c r="A40" s="123">
        <v>25</v>
      </c>
      <c r="B40" s="121">
        <v>39293.739583333336</v>
      </c>
      <c r="C40" s="121">
        <v>39294.333333333336</v>
      </c>
      <c r="D40" s="75">
        <f>(C40-B40)*24</f>
        <v>14.25</v>
      </c>
      <c r="E40" s="124" t="s">
        <v>87</v>
      </c>
      <c r="F40" s="125"/>
      <c r="G40" s="126"/>
      <c r="H40" s="121"/>
      <c r="I40" s="121"/>
      <c r="J40" s="75">
        <f>(I40-H40)*24</f>
        <v>0</v>
      </c>
      <c r="K40" s="75">
        <f>(I40-H40)*24</f>
        <v>0</v>
      </c>
      <c r="L40" s="127" t="s">
        <v>24</v>
      </c>
      <c r="M40" s="127"/>
      <c r="N40" s="127"/>
      <c r="O40" s="128"/>
      <c r="P40" s="124"/>
      <c r="Q40" s="12">
        <f t="shared" si="0"/>
      </c>
      <c r="R40" s="12">
        <f t="shared" si="1"/>
        <v>1</v>
      </c>
      <c r="S40" s="12">
        <f t="shared" si="2"/>
      </c>
      <c r="T40" s="54">
        <f t="shared" si="9"/>
        <v>1</v>
      </c>
      <c r="U40" s="3"/>
      <c r="V40" s="3"/>
      <c r="W40" s="3"/>
    </row>
    <row r="41" spans="1:23" s="76" customFormat="1" ht="12.75">
      <c r="A41" s="66"/>
      <c r="B41" s="67"/>
      <c r="C41" s="67"/>
      <c r="D41" s="68">
        <f>SUM(D38:D40)</f>
        <v>136.58333333325572</v>
      </c>
      <c r="E41" s="69"/>
      <c r="F41" s="70"/>
      <c r="G41" s="71"/>
      <c r="H41" s="67"/>
      <c r="I41" s="67"/>
      <c r="J41" s="68">
        <f>SUM(J38:J40)</f>
        <v>7.416666666744277</v>
      </c>
      <c r="K41" s="68">
        <f>SUM(K38:K39)</f>
        <v>7.416666666744277</v>
      </c>
      <c r="L41" s="72"/>
      <c r="M41" s="73"/>
      <c r="N41" s="73"/>
      <c r="O41" s="74"/>
      <c r="P41" s="69"/>
      <c r="Q41" s="55">
        <f t="shared" si="0"/>
      </c>
      <c r="R41" s="12">
        <f t="shared" si="1"/>
      </c>
      <c r="S41" s="12">
        <f t="shared" si="2"/>
      </c>
      <c r="T41" s="54">
        <f t="shared" si="9"/>
        <v>0</v>
      </c>
      <c r="U41" s="3"/>
      <c r="V41" s="3"/>
      <c r="W41" s="3"/>
    </row>
    <row r="42" spans="1:23" s="85" customFormat="1" ht="12.75">
      <c r="A42" s="92">
        <v>26</v>
      </c>
      <c r="B42" s="86">
        <v>39295.333333333336</v>
      </c>
      <c r="C42" s="86">
        <v>39299.760416666664</v>
      </c>
      <c r="D42" s="81">
        <f>(C42-B42)*24</f>
        <v>106.24999999988358</v>
      </c>
      <c r="E42" s="87" t="s">
        <v>112</v>
      </c>
      <c r="F42" s="88"/>
      <c r="G42" s="89"/>
      <c r="H42" s="86">
        <v>39299.760416666664</v>
      </c>
      <c r="I42" s="86">
        <v>39299.78194444445</v>
      </c>
      <c r="J42" s="81">
        <f>(I42-H42)*24</f>
        <v>0.5166666667792015</v>
      </c>
      <c r="K42" s="81">
        <f>(I42-H42)*24</f>
        <v>0.5166666667792015</v>
      </c>
      <c r="L42" s="90" t="s">
        <v>39</v>
      </c>
      <c r="M42" s="90" t="s">
        <v>39</v>
      </c>
      <c r="N42" s="90" t="s">
        <v>39</v>
      </c>
      <c r="O42" s="91" t="s">
        <v>93</v>
      </c>
      <c r="P42" s="87"/>
      <c r="Q42" s="82">
        <f t="shared" si="0"/>
      </c>
      <c r="R42" s="82">
        <f t="shared" si="1"/>
      </c>
      <c r="S42" s="82">
        <f t="shared" si="2"/>
        <v>1</v>
      </c>
      <c r="T42" s="83">
        <f t="shared" si="9"/>
        <v>1</v>
      </c>
      <c r="U42" s="84"/>
      <c r="V42" s="84"/>
      <c r="W42" s="84"/>
    </row>
    <row r="43" spans="1:23" s="76" customFormat="1" ht="12.75">
      <c r="A43" s="123">
        <v>27</v>
      </c>
      <c r="B43" s="121">
        <v>39299.78194444445</v>
      </c>
      <c r="C43" s="121">
        <v>39301.333333333336</v>
      </c>
      <c r="D43" s="75">
        <f>(C43-B43)*24</f>
        <v>37.233333333337214</v>
      </c>
      <c r="E43" s="124" t="s">
        <v>87</v>
      </c>
      <c r="F43" s="125"/>
      <c r="G43" s="126"/>
      <c r="H43" s="121"/>
      <c r="I43" s="121"/>
      <c r="J43" s="75">
        <f>(I43-H43)*24</f>
        <v>0</v>
      </c>
      <c r="K43" s="75">
        <f>(I43-H43)*24</f>
        <v>0</v>
      </c>
      <c r="L43" s="127" t="s">
        <v>24</v>
      </c>
      <c r="M43" s="127"/>
      <c r="N43" s="127"/>
      <c r="O43" s="128"/>
      <c r="P43" s="124"/>
      <c r="Q43" s="12">
        <f t="shared" si="0"/>
      </c>
      <c r="R43" s="12">
        <f t="shared" si="1"/>
        <v>1</v>
      </c>
      <c r="S43" s="12">
        <f t="shared" si="2"/>
      </c>
      <c r="T43" s="54">
        <f t="shared" si="9"/>
        <v>1</v>
      </c>
      <c r="U43" s="3"/>
      <c r="V43" s="3"/>
      <c r="W43" s="3"/>
    </row>
    <row r="44" spans="1:23" s="76" customFormat="1" ht="12.75">
      <c r="A44" s="66"/>
      <c r="B44" s="67"/>
      <c r="C44" s="67"/>
      <c r="D44" s="68">
        <f>SUM(D42:D43)</f>
        <v>143.4833333332208</v>
      </c>
      <c r="E44" s="69"/>
      <c r="F44" s="70"/>
      <c r="G44" s="71"/>
      <c r="H44" s="67"/>
      <c r="I44" s="67"/>
      <c r="J44" s="68">
        <f>SUM(J42:J43)</f>
        <v>0.5166666667792015</v>
      </c>
      <c r="K44" s="68">
        <f>SUM(K42:K43)</f>
        <v>0.5166666667792015</v>
      </c>
      <c r="L44" s="72"/>
      <c r="M44" s="73"/>
      <c r="N44" s="73"/>
      <c r="O44" s="74"/>
      <c r="P44" s="69"/>
      <c r="Q44" s="55">
        <f t="shared" si="0"/>
      </c>
      <c r="R44" s="12">
        <f t="shared" si="1"/>
      </c>
      <c r="S44" s="12">
        <f t="shared" si="2"/>
      </c>
      <c r="T44" s="54">
        <f t="shared" si="9"/>
        <v>0</v>
      </c>
      <c r="U44" s="3"/>
      <c r="V44" s="3"/>
      <c r="W44" s="3"/>
    </row>
    <row r="45" spans="1:23" s="76" customFormat="1" ht="12.75">
      <c r="A45" s="123">
        <v>28</v>
      </c>
      <c r="B45" s="121">
        <v>39302.333333333336</v>
      </c>
      <c r="C45" s="121">
        <v>39302.77291666667</v>
      </c>
      <c r="D45" s="75">
        <f>(C45-B45)*24</f>
        <v>10.549999999988358</v>
      </c>
      <c r="E45" s="124" t="s">
        <v>113</v>
      </c>
      <c r="F45" s="125">
        <v>105298</v>
      </c>
      <c r="G45" s="126"/>
      <c r="H45" s="121">
        <v>39302.77291666667</v>
      </c>
      <c r="I45" s="121">
        <v>39302.79027777778</v>
      </c>
      <c r="J45" s="75">
        <f>(I45-H45)*24</f>
        <v>0.41666666662786156</v>
      </c>
      <c r="K45" s="75">
        <f>(I45-H45)*24</f>
        <v>0.41666666662786156</v>
      </c>
      <c r="L45" s="127" t="s">
        <v>84</v>
      </c>
      <c r="M45" s="127" t="s">
        <v>84</v>
      </c>
      <c r="N45" s="127" t="s">
        <v>84</v>
      </c>
      <c r="O45" s="128" t="s">
        <v>26</v>
      </c>
      <c r="P45" s="124"/>
      <c r="Q45" s="12">
        <f t="shared" si="0"/>
        <v>1</v>
      </c>
      <c r="R45" s="12">
        <f t="shared" si="1"/>
      </c>
      <c r="S45" s="12">
        <f t="shared" si="2"/>
      </c>
      <c r="T45" s="54">
        <f aca="true" t="shared" si="10" ref="T45:T52">SUM(Q45:S45)</f>
        <v>1</v>
      </c>
      <c r="U45" s="3"/>
      <c r="V45" s="3"/>
      <c r="W45" s="3"/>
    </row>
    <row r="46" spans="1:23" s="85" customFormat="1" ht="12.75">
      <c r="A46" s="92">
        <v>29</v>
      </c>
      <c r="B46" s="86">
        <v>39302.79027777778</v>
      </c>
      <c r="C46" s="86">
        <v>39303.12291666667</v>
      </c>
      <c r="D46" s="81">
        <f>(C46-B46)*24</f>
        <v>7.983333333337214</v>
      </c>
      <c r="E46" s="87" t="s">
        <v>114</v>
      </c>
      <c r="F46" s="88">
        <v>105300</v>
      </c>
      <c r="G46" s="89"/>
      <c r="H46" s="86">
        <v>39303.12291666667</v>
      </c>
      <c r="I46" s="86">
        <v>39303.17152777778</v>
      </c>
      <c r="J46" s="81">
        <f>(I46-H46)*24</f>
        <v>1.1666666666278616</v>
      </c>
      <c r="K46" s="81">
        <f>(I46-H46)*24</f>
        <v>1.1666666666278616</v>
      </c>
      <c r="L46" s="90" t="s">
        <v>38</v>
      </c>
      <c r="M46" s="90" t="s">
        <v>38</v>
      </c>
      <c r="N46" s="90" t="s">
        <v>38</v>
      </c>
      <c r="O46" s="91" t="s">
        <v>26</v>
      </c>
      <c r="P46" s="87" t="s">
        <v>115</v>
      </c>
      <c r="Q46" s="82">
        <f t="shared" si="0"/>
        <v>1</v>
      </c>
      <c r="R46" s="82">
        <f t="shared" si="1"/>
      </c>
      <c r="S46" s="82">
        <f t="shared" si="2"/>
      </c>
      <c r="T46" s="83">
        <f t="shared" si="10"/>
        <v>1</v>
      </c>
      <c r="U46" s="84"/>
      <c r="V46" s="84"/>
      <c r="W46" s="84"/>
    </row>
    <row r="47" spans="1:23" s="76" customFormat="1" ht="12.75">
      <c r="A47" s="123">
        <v>31</v>
      </c>
      <c r="B47" s="121">
        <v>39303.17152777778</v>
      </c>
      <c r="C47" s="121">
        <v>39308.333333333336</v>
      </c>
      <c r="D47" s="75">
        <f>(C47-B47)*24</f>
        <v>123.8833333334187</v>
      </c>
      <c r="E47" s="124" t="s">
        <v>87</v>
      </c>
      <c r="F47" s="125"/>
      <c r="G47" s="126"/>
      <c r="H47" s="121"/>
      <c r="I47" s="121"/>
      <c r="J47" s="75">
        <f>(I47-H47)*24</f>
        <v>0</v>
      </c>
      <c r="K47" s="75">
        <f>(I47-H47)*24</f>
        <v>0</v>
      </c>
      <c r="L47" s="127" t="s">
        <v>24</v>
      </c>
      <c r="M47" s="127"/>
      <c r="N47" s="127"/>
      <c r="O47" s="128"/>
      <c r="P47" s="124"/>
      <c r="Q47" s="12">
        <f t="shared" si="0"/>
      </c>
      <c r="R47" s="12">
        <f t="shared" si="1"/>
        <v>1</v>
      </c>
      <c r="S47" s="12">
        <f t="shared" si="2"/>
      </c>
      <c r="T47" s="54">
        <f t="shared" si="10"/>
        <v>1</v>
      </c>
      <c r="U47" s="3"/>
      <c r="V47" s="3"/>
      <c r="W47" s="3"/>
    </row>
    <row r="48" spans="1:23" s="76" customFormat="1" ht="12.75">
      <c r="A48" s="66"/>
      <c r="B48" s="67"/>
      <c r="C48" s="67"/>
      <c r="D48" s="68">
        <f>SUM(D45:D47)</f>
        <v>142.41666666674428</v>
      </c>
      <c r="E48" s="69"/>
      <c r="F48" s="70"/>
      <c r="G48" s="71"/>
      <c r="H48" s="67"/>
      <c r="I48" s="67"/>
      <c r="J48" s="68">
        <f>SUM(J45:J47)</f>
        <v>1.5833333332557231</v>
      </c>
      <c r="K48" s="68">
        <f>SUM(K45:K46)</f>
        <v>1.5833333332557231</v>
      </c>
      <c r="L48" s="72"/>
      <c r="M48" s="73"/>
      <c r="N48" s="73"/>
      <c r="O48" s="74"/>
      <c r="P48" s="69"/>
      <c r="Q48" s="55">
        <f t="shared" si="0"/>
      </c>
      <c r="R48" s="12">
        <f t="shared" si="1"/>
      </c>
      <c r="S48" s="12">
        <f t="shared" si="2"/>
      </c>
      <c r="T48" s="54">
        <f t="shared" si="10"/>
        <v>0</v>
      </c>
      <c r="U48" s="3"/>
      <c r="V48" s="3"/>
      <c r="W48" s="3"/>
    </row>
    <row r="49" spans="1:23" s="76" customFormat="1" ht="12.75">
      <c r="A49" s="123">
        <v>32</v>
      </c>
      <c r="B49" s="121">
        <v>39309.333333333336</v>
      </c>
      <c r="C49" s="121">
        <v>39315.694444444445</v>
      </c>
      <c r="D49" s="75">
        <f>(C49-B49)*24</f>
        <v>152.66666666662786</v>
      </c>
      <c r="E49" s="124" t="s">
        <v>116</v>
      </c>
      <c r="F49" s="125">
        <v>105303</v>
      </c>
      <c r="G49" s="126"/>
      <c r="H49" s="121">
        <v>39315.694444444445</v>
      </c>
      <c r="I49" s="121">
        <v>39315.73819444444</v>
      </c>
      <c r="J49" s="75">
        <f>(I49-H49)*24</f>
        <v>1.0499999999301508</v>
      </c>
      <c r="K49" s="75">
        <f>(I49-H49)*24</f>
        <v>1.0499999999301508</v>
      </c>
      <c r="L49" s="127" t="s">
        <v>36</v>
      </c>
      <c r="M49" s="127" t="s">
        <v>36</v>
      </c>
      <c r="N49" s="127" t="s">
        <v>36</v>
      </c>
      <c r="O49" s="128" t="s">
        <v>26</v>
      </c>
      <c r="P49" s="124"/>
      <c r="Q49" s="12">
        <f t="shared" si="0"/>
        <v>1</v>
      </c>
      <c r="R49" s="12">
        <f t="shared" si="1"/>
      </c>
      <c r="S49" s="12">
        <f t="shared" si="2"/>
      </c>
      <c r="T49" s="54">
        <f t="shared" si="10"/>
        <v>1</v>
      </c>
      <c r="U49" s="3"/>
      <c r="V49" s="3"/>
      <c r="W49" s="3"/>
    </row>
    <row r="50" spans="1:23" s="85" customFormat="1" ht="12.75">
      <c r="A50" s="92">
        <v>33</v>
      </c>
      <c r="B50" s="86">
        <v>39315.73819444444</v>
      </c>
      <c r="C50" s="86">
        <v>39316.21597222222</v>
      </c>
      <c r="D50" s="81">
        <f>(C50-B50)*24</f>
        <v>11.466666666674428</v>
      </c>
      <c r="E50" s="87" t="s">
        <v>116</v>
      </c>
      <c r="F50" s="88">
        <v>105304</v>
      </c>
      <c r="G50" s="89"/>
      <c r="H50" s="86">
        <v>39316.21597222222</v>
      </c>
      <c r="I50" s="86">
        <v>39316.24513888889</v>
      </c>
      <c r="J50" s="81">
        <f>(I50-H50)*24</f>
        <v>0.7000000000116415</v>
      </c>
      <c r="K50" s="81">
        <f>(I50-H50)*24</f>
        <v>0.7000000000116415</v>
      </c>
      <c r="L50" s="90" t="s">
        <v>36</v>
      </c>
      <c r="M50" s="90" t="s">
        <v>36</v>
      </c>
      <c r="N50" s="90" t="s">
        <v>36</v>
      </c>
      <c r="O50" s="91" t="s">
        <v>26</v>
      </c>
      <c r="P50" s="87"/>
      <c r="Q50" s="82">
        <f t="shared" si="0"/>
        <v>1</v>
      </c>
      <c r="R50" s="82">
        <f t="shared" si="1"/>
      </c>
      <c r="S50" s="82">
        <f t="shared" si="2"/>
      </c>
      <c r="T50" s="83">
        <f t="shared" si="10"/>
        <v>1</v>
      </c>
      <c r="U50" s="84"/>
      <c r="V50" s="84"/>
      <c r="W50" s="84"/>
    </row>
    <row r="51" spans="1:23" s="76" customFormat="1" ht="12.75">
      <c r="A51" s="123">
        <v>34</v>
      </c>
      <c r="B51" s="121">
        <v>39316.24513888889</v>
      </c>
      <c r="C51" s="121">
        <v>39317.333333333336</v>
      </c>
      <c r="D51" s="75">
        <f>(C51-B51)*24</f>
        <v>26.11666666675592</v>
      </c>
      <c r="E51" s="124" t="s">
        <v>87</v>
      </c>
      <c r="F51" s="125"/>
      <c r="G51" s="126"/>
      <c r="H51" s="121"/>
      <c r="I51" s="121"/>
      <c r="J51" s="75">
        <f>(I51-H51)*24</f>
        <v>0</v>
      </c>
      <c r="K51" s="75">
        <f>(I51-H51)*24</f>
        <v>0</v>
      </c>
      <c r="L51" s="127" t="s">
        <v>24</v>
      </c>
      <c r="M51" s="127"/>
      <c r="N51" s="127"/>
      <c r="O51" s="128"/>
      <c r="P51" s="124"/>
      <c r="Q51" s="12">
        <f t="shared" si="0"/>
      </c>
      <c r="R51" s="12">
        <f t="shared" si="1"/>
        <v>1</v>
      </c>
      <c r="S51" s="12">
        <f t="shared" si="2"/>
      </c>
      <c r="T51" s="54">
        <f t="shared" si="10"/>
        <v>1</v>
      </c>
      <c r="U51" s="3"/>
      <c r="V51" s="3"/>
      <c r="W51" s="3"/>
    </row>
    <row r="52" spans="1:23" s="76" customFormat="1" ht="12.75">
      <c r="A52" s="66"/>
      <c r="B52" s="67"/>
      <c r="C52" s="67"/>
      <c r="D52" s="68">
        <f>SUM(D49:D51)</f>
        <v>190.2500000000582</v>
      </c>
      <c r="E52" s="69"/>
      <c r="F52" s="70"/>
      <c r="G52" s="71"/>
      <c r="H52" s="67"/>
      <c r="I52" s="67"/>
      <c r="J52" s="68">
        <f>SUM(J49:J51)</f>
        <v>1.7499999999417923</v>
      </c>
      <c r="K52" s="68">
        <f>SUM(K49:K50)</f>
        <v>1.7499999999417923</v>
      </c>
      <c r="L52" s="72"/>
      <c r="M52" s="73"/>
      <c r="N52" s="73"/>
      <c r="O52" s="74"/>
      <c r="P52" s="69"/>
      <c r="Q52" s="55">
        <f t="shared" si="0"/>
      </c>
      <c r="R52" s="12">
        <f t="shared" si="1"/>
      </c>
      <c r="S52" s="12">
        <f t="shared" si="2"/>
      </c>
      <c r="T52" s="54">
        <f t="shared" si="10"/>
        <v>0</v>
      </c>
      <c r="U52" s="3"/>
      <c r="V52" s="3"/>
      <c r="W52" s="3"/>
    </row>
    <row r="53" spans="1:18" ht="12.75">
      <c r="A53" s="29"/>
      <c r="B53" s="16"/>
      <c r="C53" s="16"/>
      <c r="D53" s="77"/>
      <c r="E53" s="14"/>
      <c r="F53" s="50"/>
      <c r="G53" s="48"/>
      <c r="K53" s="20"/>
      <c r="Q53" s="8"/>
      <c r="R53" s="1">
        <f>IF($P54="Store Lost",1,"")</f>
      </c>
    </row>
    <row r="54" spans="1:18" ht="12.75">
      <c r="A54" s="29"/>
      <c r="B54" s="16"/>
      <c r="C54" s="16"/>
      <c r="D54" s="7"/>
      <c r="E54" s="14"/>
      <c r="F54" s="50"/>
      <c r="G54" s="48"/>
      <c r="K54" s="20"/>
      <c r="Q54" s="8"/>
      <c r="R54" s="1">
        <f>IF($P55="Store Lost",1,"")</f>
      </c>
    </row>
    <row r="55" spans="1:18" ht="14.25" customHeight="1">
      <c r="A55" s="29"/>
      <c r="B55" s="16"/>
      <c r="C55" s="13" t="s">
        <v>15</v>
      </c>
      <c r="D55" s="40">
        <f>Q57</f>
        <v>19</v>
      </c>
      <c r="E55" s="14"/>
      <c r="F55" s="50"/>
      <c r="G55" s="48"/>
      <c r="H55" s="31"/>
      <c r="I55" s="31"/>
      <c r="J55" s="45" t="s">
        <v>8</v>
      </c>
      <c r="K55" s="56"/>
      <c r="L55" s="57"/>
      <c r="M55" s="58"/>
      <c r="N55" s="58"/>
      <c r="O55" s="65"/>
      <c r="P55" s="8"/>
      <c r="R55" s="1">
        <f>IF($L55="Scheduled",1,"")</f>
      </c>
    </row>
    <row r="56" spans="1:18" ht="12.75">
      <c r="A56" s="29"/>
      <c r="B56" s="16"/>
      <c r="C56" s="13" t="s">
        <v>18</v>
      </c>
      <c r="D56" s="40">
        <f>D57-D55</f>
        <v>13</v>
      </c>
      <c r="E56" s="14"/>
      <c r="F56" s="50"/>
      <c r="G56" s="48"/>
      <c r="H56" s="31"/>
      <c r="I56" s="31"/>
      <c r="J56" s="7" t="s">
        <v>9</v>
      </c>
      <c r="K56" s="34" t="s">
        <v>10</v>
      </c>
      <c r="L56" s="57"/>
      <c r="M56" s="58"/>
      <c r="N56" s="58"/>
      <c r="O56" s="65"/>
      <c r="P56" s="8"/>
      <c r="R56" s="1">
        <f>IF($L56="Scheduled",1,"")</f>
      </c>
    </row>
    <row r="57" spans="1:20" ht="13.5" thickBot="1">
      <c r="A57" s="29"/>
      <c r="B57" s="16"/>
      <c r="C57" s="13" t="s">
        <v>14</v>
      </c>
      <c r="D57" s="41">
        <f>COUNT(A6:A53)</f>
        <v>32</v>
      </c>
      <c r="E57" s="14"/>
      <c r="F57" s="50"/>
      <c r="G57" s="48"/>
      <c r="H57" s="31"/>
      <c r="I57" s="31"/>
      <c r="J57" s="25">
        <f>SUM(J6:J53)/2</f>
        <v>35.28333333291812</v>
      </c>
      <c r="K57" s="25">
        <f>SUM(K6:K53)/2</f>
        <v>35.28333333291812</v>
      </c>
      <c r="L57" s="57"/>
      <c r="M57" s="58"/>
      <c r="N57" s="58"/>
      <c r="O57" s="65"/>
      <c r="P57" s="8"/>
      <c r="Q57" s="41">
        <f>SUM(Q1:Q53)</f>
        <v>19</v>
      </c>
      <c r="R57" s="41">
        <f>SUM(R1:R53)</f>
        <v>12</v>
      </c>
      <c r="S57" s="41">
        <f>SUM(S1:S53)</f>
        <v>3</v>
      </c>
      <c r="T57" s="42">
        <f>SUM(Q57:S57)</f>
        <v>34</v>
      </c>
    </row>
    <row r="58" spans="1:19" ht="13.5" thickTop="1">
      <c r="A58" s="29"/>
      <c r="B58" s="16"/>
      <c r="C58" s="13"/>
      <c r="D58" s="7"/>
      <c r="E58" s="14"/>
      <c r="F58" s="50"/>
      <c r="G58" s="48"/>
      <c r="H58" s="31"/>
      <c r="I58" s="31"/>
      <c r="J58" s="7"/>
      <c r="K58" s="33"/>
      <c r="L58" s="57"/>
      <c r="M58" s="58"/>
      <c r="N58" s="58"/>
      <c r="O58" s="57"/>
      <c r="P58" s="8"/>
      <c r="Q58" s="1" t="s">
        <v>27</v>
      </c>
      <c r="R58" s="2" t="s">
        <v>24</v>
      </c>
      <c r="S58" s="1" t="s">
        <v>28</v>
      </c>
    </row>
    <row r="59" spans="1:20" ht="12.75">
      <c r="A59" s="29"/>
      <c r="B59" s="16"/>
      <c r="C59" s="13" t="s">
        <v>11</v>
      </c>
      <c r="D59" s="7">
        <f>SUM(D6:D53)/2</f>
        <v>1692.700000000361</v>
      </c>
      <c r="E59" s="18">
        <f>D59/24</f>
        <v>70.5291666666817</v>
      </c>
      <c r="F59" s="52" t="s">
        <v>35</v>
      </c>
      <c r="G59" s="48"/>
      <c r="H59" s="31"/>
      <c r="I59" s="31"/>
      <c r="J59" s="7"/>
      <c r="K59" s="33"/>
      <c r="L59" s="57"/>
      <c r="M59" s="58"/>
      <c r="N59" s="58"/>
      <c r="O59" s="57"/>
      <c r="P59" s="8"/>
      <c r="Q59" s="1">
        <f>IF($O61="Store Lost",1,"")</f>
      </c>
      <c r="T59" s="42"/>
    </row>
    <row r="60" spans="1:17" ht="12.75">
      <c r="A60" s="29"/>
      <c r="B60" s="16"/>
      <c r="C60" s="13" t="s">
        <v>12</v>
      </c>
      <c r="D60" s="7">
        <f>J57</f>
        <v>35.28333333291812</v>
      </c>
      <c r="E60" s="14" t="s">
        <v>31</v>
      </c>
      <c r="F60" s="50"/>
      <c r="G60" s="48"/>
      <c r="H60" s="31"/>
      <c r="I60" s="31"/>
      <c r="J60" s="7"/>
      <c r="K60" s="33"/>
      <c r="L60" s="57"/>
      <c r="M60" s="58"/>
      <c r="N60" s="58"/>
      <c r="O60" s="57"/>
      <c r="P60" s="8"/>
      <c r="Q60" s="1">
        <f>IF($O62="Store Lost",1,"")</f>
      </c>
    </row>
    <row r="61" spans="1:29" ht="13.5" thickBot="1">
      <c r="A61" s="29"/>
      <c r="B61" s="16"/>
      <c r="C61" s="13" t="s">
        <v>13</v>
      </c>
      <c r="D61" s="41">
        <f>SUM(D59:D60)</f>
        <v>1727.983333333279</v>
      </c>
      <c r="E61" s="18"/>
      <c r="F61" s="50"/>
      <c r="G61" s="48"/>
      <c r="H61" s="31"/>
      <c r="I61" s="31"/>
      <c r="J61" s="7"/>
      <c r="K61" s="33"/>
      <c r="L61" s="57"/>
      <c r="M61" s="58"/>
      <c r="N61" s="58"/>
      <c r="O61" s="57"/>
      <c r="P61" s="8"/>
      <c r="Q61" s="1">
        <f>IF($O63="Store Lost",1,"")</f>
      </c>
      <c r="AA61" s="3"/>
      <c r="AB61" s="3"/>
      <c r="AC61" s="3"/>
    </row>
    <row r="62" spans="1:18" ht="13.5" thickTop="1">
      <c r="A62" s="29"/>
      <c r="B62" s="16"/>
      <c r="C62" s="13"/>
      <c r="D62" s="26"/>
      <c r="E62" s="47"/>
      <c r="F62" s="50"/>
      <c r="G62" s="48"/>
      <c r="H62" s="7"/>
      <c r="I62" s="31"/>
      <c r="J62" s="7"/>
      <c r="K62" s="33"/>
      <c r="L62" s="57"/>
      <c r="M62" s="58"/>
      <c r="N62" s="58"/>
      <c r="O62" s="57"/>
      <c r="P62" s="8"/>
      <c r="Q62" s="43">
        <f>Q57+R57</f>
        <v>31</v>
      </c>
      <c r="R62" s="1">
        <f aca="true" t="shared" si="11" ref="R62:R76">IF($P64="Store Lost",1,"")</f>
      </c>
    </row>
    <row r="63" spans="1:26" ht="12.75">
      <c r="A63" s="29"/>
      <c r="B63" s="16"/>
      <c r="C63" s="13"/>
      <c r="D63" s="26"/>
      <c r="E63" s="14"/>
      <c r="F63" s="50"/>
      <c r="G63" s="48"/>
      <c r="H63" s="31"/>
      <c r="I63" s="31"/>
      <c r="J63" s="7"/>
      <c r="K63" s="33"/>
      <c r="L63" s="57"/>
      <c r="M63" s="58"/>
      <c r="N63" s="58"/>
      <c r="O63" s="57"/>
      <c r="P63" s="8"/>
      <c r="Q63" s="8"/>
      <c r="R63" s="1">
        <f t="shared" si="11"/>
      </c>
      <c r="S63" s="3"/>
      <c r="T63" s="3"/>
      <c r="U63" s="3"/>
      <c r="V63" s="3"/>
      <c r="W63" s="3"/>
      <c r="X63" s="3"/>
      <c r="Y63" s="3"/>
      <c r="Z63" s="3"/>
    </row>
    <row r="64" spans="1:18" ht="12.75">
      <c r="A64" s="29"/>
      <c r="B64" s="16"/>
      <c r="C64" s="13" t="s">
        <v>29</v>
      </c>
      <c r="D64" s="27">
        <f>IF(D55,D59/D55,D59)</f>
        <v>89.08947368422952</v>
      </c>
      <c r="E64" s="14"/>
      <c r="F64" s="50"/>
      <c r="G64" s="48"/>
      <c r="J64" s="32"/>
      <c r="K64" s="20"/>
      <c r="Q64" s="8"/>
      <c r="R64" s="1">
        <f t="shared" si="11"/>
      </c>
    </row>
    <row r="65" spans="1:18" ht="12.75">
      <c r="A65" s="29"/>
      <c r="B65" s="16"/>
      <c r="C65" s="13" t="s">
        <v>16</v>
      </c>
      <c r="D65" s="26">
        <f>IF(D55,24/D64,0)</f>
        <v>0.2693920954687203</v>
      </c>
      <c r="E65" s="78"/>
      <c r="F65" s="80"/>
      <c r="G65" s="79"/>
      <c r="K65" s="20"/>
      <c r="Q65" s="8"/>
      <c r="R65" s="1" t="e">
        <f>IF(#REF!="Store Lost",1,"")</f>
        <v>#REF!</v>
      </c>
    </row>
    <row r="66" spans="1:18" ht="12.75">
      <c r="A66" s="29"/>
      <c r="B66" s="16"/>
      <c r="C66" s="13" t="s">
        <v>17</v>
      </c>
      <c r="D66" s="36">
        <f>D59/D61</f>
        <v>0.9795812073807121</v>
      </c>
      <c r="E66" s="21"/>
      <c r="F66" s="50"/>
      <c r="G66" s="48"/>
      <c r="K66" s="20"/>
      <c r="Q66" s="8"/>
      <c r="R66" s="1" t="e">
        <f>IF(#REF!="Store Lost",1,"")</f>
        <v>#REF!</v>
      </c>
    </row>
    <row r="67" spans="1:18" ht="12.75">
      <c r="A67" s="29"/>
      <c r="B67" s="16"/>
      <c r="C67" s="16"/>
      <c r="D67" s="7"/>
      <c r="E67" s="14"/>
      <c r="F67" s="50"/>
      <c r="G67" s="48"/>
      <c r="K67" s="20"/>
      <c r="Q67" s="8"/>
      <c r="R67" s="1">
        <f t="shared" si="11"/>
      </c>
    </row>
    <row r="68" spans="1:18" ht="12.75">
      <c r="A68" s="29"/>
      <c r="B68" s="16"/>
      <c r="C68" s="16"/>
      <c r="D68" s="7"/>
      <c r="E68" s="14"/>
      <c r="F68" s="50"/>
      <c r="G68" s="48"/>
      <c r="K68" s="20"/>
      <c r="Q68" s="8"/>
      <c r="R68" s="1">
        <f t="shared" si="11"/>
      </c>
    </row>
    <row r="69" spans="1:18" ht="12.75">
      <c r="A69" s="29"/>
      <c r="B69" s="16"/>
      <c r="C69" s="16"/>
      <c r="D69" s="7"/>
      <c r="E69" s="14"/>
      <c r="F69" s="50"/>
      <c r="G69" s="48"/>
      <c r="K69" s="20"/>
      <c r="Q69" s="8"/>
      <c r="R69" s="1">
        <f t="shared" si="11"/>
      </c>
    </row>
    <row r="70" spans="1:18" ht="12.75">
      <c r="A70" s="29"/>
      <c r="B70" s="16"/>
      <c r="C70" s="16"/>
      <c r="D70" s="7"/>
      <c r="E70" s="14"/>
      <c r="F70" s="50"/>
      <c r="G70" s="48"/>
      <c r="K70" s="20"/>
      <c r="Q70" s="8"/>
      <c r="R70" s="1">
        <f t="shared" si="11"/>
      </c>
    </row>
    <row r="71" spans="1:18" ht="12.75">
      <c r="A71" s="29"/>
      <c r="B71" s="16"/>
      <c r="C71" s="16"/>
      <c r="D71" s="7"/>
      <c r="E71" s="14"/>
      <c r="F71" s="50"/>
      <c r="G71" s="48"/>
      <c r="K71" s="20"/>
      <c r="Q71" s="8"/>
      <c r="R71" s="1">
        <f t="shared" si="11"/>
      </c>
    </row>
    <row r="72" spans="1:29" s="5" customFormat="1" ht="13.5" thickBot="1">
      <c r="A72" s="29"/>
      <c r="B72" s="16"/>
      <c r="C72" s="16"/>
      <c r="D72" s="7"/>
      <c r="E72" s="14"/>
      <c r="F72" s="50"/>
      <c r="G72" s="48"/>
      <c r="H72" s="32"/>
      <c r="I72" s="32"/>
      <c r="J72" s="22"/>
      <c r="K72" s="20"/>
      <c r="L72" s="63"/>
      <c r="M72" s="64"/>
      <c r="N72" s="64"/>
      <c r="O72" s="63"/>
      <c r="P72" s="9"/>
      <c r="Q72" s="8"/>
      <c r="R72" s="1">
        <f t="shared" si="11"/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18" ht="12.75">
      <c r="A73" s="29"/>
      <c r="B73" s="16"/>
      <c r="C73" s="16"/>
      <c r="D73" s="7"/>
      <c r="E73" s="14"/>
      <c r="F73" s="50"/>
      <c r="G73" s="48"/>
      <c r="K73" s="20"/>
      <c r="Q73" s="8"/>
      <c r="R73" s="1">
        <f t="shared" si="11"/>
      </c>
    </row>
    <row r="74" spans="1:18" ht="12.75">
      <c r="A74" s="29"/>
      <c r="B74" s="16"/>
      <c r="C74" s="16"/>
      <c r="D74" s="7"/>
      <c r="E74" s="14"/>
      <c r="F74" s="50"/>
      <c r="G74" s="48"/>
      <c r="K74" s="20"/>
      <c r="Q74" s="8"/>
      <c r="R74" s="1">
        <f t="shared" si="11"/>
      </c>
    </row>
    <row r="75" spans="1:18" ht="12.75">
      <c r="A75" s="29"/>
      <c r="B75" s="16"/>
      <c r="C75" s="16"/>
      <c r="D75" s="7"/>
      <c r="E75" s="14"/>
      <c r="F75" s="50"/>
      <c r="G75" s="48"/>
      <c r="K75" s="20"/>
      <c r="Q75" s="8"/>
      <c r="R75" s="1">
        <f t="shared" si="11"/>
      </c>
    </row>
    <row r="76" spans="1:18" ht="12.75">
      <c r="A76" s="29"/>
      <c r="B76" s="16"/>
      <c r="C76" s="16"/>
      <c r="D76" s="7"/>
      <c r="E76" s="14"/>
      <c r="F76" s="50"/>
      <c r="G76" s="48"/>
      <c r="K76" s="20"/>
      <c r="Q76" s="8"/>
      <c r="R76" s="1">
        <f t="shared" si="11"/>
      </c>
    </row>
    <row r="77" spans="1:11" ht="12.75">
      <c r="A77" s="29"/>
      <c r="B77" s="16"/>
      <c r="C77" s="16"/>
      <c r="D77" s="7"/>
      <c r="E77" s="14"/>
      <c r="F77" s="50"/>
      <c r="G77" s="48"/>
      <c r="K77" s="20"/>
    </row>
    <row r="78" spans="1:11" ht="12.75">
      <c r="A78" s="29"/>
      <c r="B78" s="16"/>
      <c r="C78" s="16"/>
      <c r="D78" s="7"/>
      <c r="E78" s="14"/>
      <c r="F78" s="50"/>
      <c r="G78" s="48"/>
      <c r="K78" s="20"/>
    </row>
    <row r="79" spans="1:16" ht="12.75">
      <c r="A79" s="29"/>
      <c r="B79" s="16"/>
      <c r="C79" s="16"/>
      <c r="D79" s="7"/>
      <c r="E79" s="14"/>
      <c r="F79" s="50"/>
      <c r="G79" s="48"/>
      <c r="H79" s="31"/>
      <c r="I79" s="31"/>
      <c r="J79" s="7"/>
      <c r="K79" s="33"/>
      <c r="L79" s="57"/>
      <c r="M79" s="58"/>
      <c r="N79" s="58"/>
      <c r="O79" s="57"/>
      <c r="P79" s="8"/>
    </row>
    <row r="80" spans="1:16" ht="12.75">
      <c r="A80" s="29"/>
      <c r="B80" s="16"/>
      <c r="C80" s="16"/>
      <c r="E80" s="14"/>
      <c r="F80" s="50"/>
      <c r="G80" s="48"/>
      <c r="H80" s="31"/>
      <c r="I80" s="31"/>
      <c r="L80" s="57"/>
      <c r="M80" s="58"/>
      <c r="N80" s="58"/>
      <c r="O80" s="57"/>
      <c r="P80" s="8"/>
    </row>
    <row r="81" spans="1:29" s="4" customFormat="1" ht="13.5" thickBot="1">
      <c r="A81" s="29"/>
      <c r="B81" s="16"/>
      <c r="C81" s="16"/>
      <c r="D81" s="22"/>
      <c r="E81" s="14"/>
      <c r="F81" s="50"/>
      <c r="G81" s="48"/>
      <c r="H81" s="31"/>
      <c r="I81" s="31"/>
      <c r="J81" s="22"/>
      <c r="K81" s="35"/>
      <c r="L81" s="57"/>
      <c r="M81" s="58"/>
      <c r="N81" s="58"/>
      <c r="O81" s="57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3" customFormat="1" ht="14.25" thickBot="1" thickTop="1">
      <c r="A82" s="29"/>
      <c r="B82" s="16"/>
      <c r="C82" s="16"/>
      <c r="D82" s="22"/>
      <c r="E82" s="14"/>
      <c r="F82" s="50"/>
      <c r="G82" s="48"/>
      <c r="H82" s="31"/>
      <c r="I82" s="31"/>
      <c r="J82" s="22"/>
      <c r="K82" s="35"/>
      <c r="L82" s="57"/>
      <c r="M82" s="58"/>
      <c r="N82" s="58"/>
      <c r="O82" s="57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5"/>
      <c r="AC82" s="5"/>
    </row>
    <row r="83" spans="1:16" ht="12.75">
      <c r="A83" s="29"/>
      <c r="B83" s="16"/>
      <c r="C83" s="16"/>
      <c r="F83" s="50"/>
      <c r="G83" s="48"/>
      <c r="H83" s="31"/>
      <c r="I83" s="31"/>
      <c r="L83" s="57"/>
      <c r="M83" s="58"/>
      <c r="N83" s="58"/>
      <c r="O83" s="57"/>
      <c r="P83" s="8"/>
    </row>
    <row r="84" spans="2:26" ht="13.5" thickBot="1">
      <c r="B84" s="16"/>
      <c r="C84" s="16"/>
      <c r="F84" s="50"/>
      <c r="G84" s="48"/>
      <c r="H84" s="31"/>
      <c r="I84" s="31"/>
      <c r="L84" s="57"/>
      <c r="M84" s="58"/>
      <c r="N84" s="58"/>
      <c r="O84" s="57"/>
      <c r="P84" s="8"/>
      <c r="R84" s="5"/>
      <c r="S84" s="5"/>
      <c r="T84" s="5"/>
      <c r="U84" s="5"/>
      <c r="V84" s="5"/>
      <c r="W84" s="5"/>
      <c r="X84" s="5"/>
      <c r="Y84" s="5"/>
      <c r="Z84" s="5"/>
    </row>
    <row r="85" spans="2:16" ht="12.75">
      <c r="B85" s="16"/>
      <c r="C85" s="16"/>
      <c r="F85" s="50"/>
      <c r="G85" s="48"/>
      <c r="H85" s="31"/>
      <c r="I85" s="31"/>
      <c r="L85" s="57"/>
      <c r="M85" s="58"/>
      <c r="N85" s="58"/>
      <c r="O85" s="57"/>
      <c r="P85" s="8"/>
    </row>
    <row r="86" spans="2:17" ht="12.75">
      <c r="B86" s="16"/>
      <c r="C86" s="16"/>
      <c r="F86" s="50"/>
      <c r="G86" s="48"/>
      <c r="H86" s="31"/>
      <c r="I86" s="31"/>
      <c r="L86" s="57"/>
      <c r="M86" s="58"/>
      <c r="N86" s="58"/>
      <c r="O86" s="57"/>
      <c r="P86" s="8"/>
      <c r="Q86" s="1">
        <f aca="true" t="shared" si="12" ref="Q86:Q143">IF($O88="Store Lost",1,"")</f>
      </c>
    </row>
    <row r="87" spans="2:17" ht="12.75">
      <c r="B87" s="16"/>
      <c r="C87" s="16"/>
      <c r="F87" s="50"/>
      <c r="G87" s="48"/>
      <c r="H87" s="31"/>
      <c r="I87" s="31"/>
      <c r="L87" s="57"/>
      <c r="M87" s="58"/>
      <c r="N87" s="58"/>
      <c r="O87" s="57"/>
      <c r="P87" s="8"/>
      <c r="Q87" s="1">
        <f t="shared" si="12"/>
      </c>
    </row>
    <row r="88" spans="2:17" ht="12.75">
      <c r="B88" s="16"/>
      <c r="C88" s="16"/>
      <c r="Q88" s="1">
        <f t="shared" si="12"/>
      </c>
    </row>
    <row r="89" ht="12.75">
      <c r="Q89" s="1">
        <f t="shared" si="12"/>
      </c>
    </row>
    <row r="90" ht="12.75">
      <c r="Q90" s="1">
        <f t="shared" si="12"/>
      </c>
    </row>
    <row r="91" spans="17:29" ht="13.5" thickBot="1">
      <c r="Q91" s="1">
        <f t="shared" si="12"/>
      </c>
      <c r="AA91" s="4"/>
      <c r="AB91" s="4"/>
      <c r="AC91" s="4"/>
    </row>
    <row r="92" spans="17:29" ht="13.5" thickTop="1">
      <c r="Q92" s="1">
        <f t="shared" si="12"/>
      </c>
      <c r="AA92" s="3"/>
      <c r="AB92" s="3"/>
      <c r="AC92" s="3"/>
    </row>
    <row r="93" spans="17:26" ht="13.5" thickBot="1">
      <c r="Q93" s="1">
        <f t="shared" si="12"/>
      </c>
      <c r="R93" s="4"/>
      <c r="S93" s="4"/>
      <c r="T93" s="4"/>
      <c r="U93" s="4"/>
      <c r="V93" s="4"/>
      <c r="W93" s="4"/>
      <c r="X93" s="4"/>
      <c r="Y93" s="4"/>
      <c r="Z93" s="4"/>
    </row>
    <row r="94" spans="17:26" ht="13.5" thickTop="1">
      <c r="Q94" s="1">
        <f t="shared" si="12"/>
      </c>
      <c r="R94" s="3"/>
      <c r="S94" s="3"/>
      <c r="T94" s="3"/>
      <c r="U94" s="3"/>
      <c r="V94" s="3"/>
      <c r="W94" s="3"/>
      <c r="X94" s="3"/>
      <c r="Y94" s="3"/>
      <c r="Z94" s="3"/>
    </row>
    <row r="95" spans="1:29" s="5" customFormat="1" ht="13.5" thickBot="1">
      <c r="A95" s="30"/>
      <c r="B95" s="19"/>
      <c r="C95" s="19"/>
      <c r="D95" s="22"/>
      <c r="E95" s="23"/>
      <c r="F95" s="51"/>
      <c r="G95" s="49"/>
      <c r="H95" s="32"/>
      <c r="I95" s="32"/>
      <c r="J95" s="22"/>
      <c r="K95" s="35"/>
      <c r="L95" s="63"/>
      <c r="M95" s="64"/>
      <c r="N95" s="64"/>
      <c r="O95" s="63"/>
      <c r="P95" s="9"/>
      <c r="Q95" s="1">
        <f t="shared" si="12"/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2.75">
      <c r="Q96" s="1">
        <f t="shared" si="12"/>
      </c>
    </row>
    <row r="97" ht="12.75">
      <c r="Q97" s="1">
        <f t="shared" si="12"/>
      </c>
    </row>
    <row r="98" ht="12.75">
      <c r="Q98" s="1">
        <f t="shared" si="12"/>
      </c>
    </row>
    <row r="99" ht="12.75">
      <c r="Q99" s="1">
        <f t="shared" si="12"/>
      </c>
    </row>
    <row r="100" ht="12.75">
      <c r="Q100" s="1">
        <f t="shared" si="12"/>
      </c>
    </row>
    <row r="101" ht="12.75">
      <c r="Q101" s="1">
        <f t="shared" si="12"/>
      </c>
    </row>
    <row r="102" ht="12.75">
      <c r="Q102" s="1">
        <f t="shared" si="12"/>
      </c>
    </row>
    <row r="103" ht="12.75">
      <c r="Q103" s="1">
        <f t="shared" si="12"/>
      </c>
    </row>
    <row r="104" ht="12.75">
      <c r="Q104" s="1">
        <f t="shared" si="12"/>
      </c>
    </row>
    <row r="105" spans="17:29" ht="13.5" thickBot="1">
      <c r="Q105" s="1">
        <f t="shared" si="12"/>
      </c>
      <c r="AA105" s="5"/>
      <c r="AB105" s="5"/>
      <c r="AC105" s="5"/>
    </row>
    <row r="106" ht="12.75">
      <c r="Q106" s="1">
        <f t="shared" si="12"/>
      </c>
    </row>
    <row r="107" spans="17:26" ht="13.5" thickBot="1">
      <c r="Q107" s="1">
        <f t="shared" si="12"/>
      </c>
      <c r="R107" s="5"/>
      <c r="S107" s="5"/>
      <c r="T107" s="5"/>
      <c r="U107" s="5"/>
      <c r="V107" s="5"/>
      <c r="W107" s="5"/>
      <c r="X107" s="5"/>
      <c r="Y107" s="5"/>
      <c r="Z107" s="5"/>
    </row>
    <row r="108" spans="1:29" s="5" customFormat="1" ht="13.5" thickBot="1">
      <c r="A108" s="30"/>
      <c r="B108" s="19"/>
      <c r="C108" s="19"/>
      <c r="D108" s="22"/>
      <c r="E108" s="23"/>
      <c r="F108" s="51"/>
      <c r="G108" s="49"/>
      <c r="H108" s="32"/>
      <c r="I108" s="32"/>
      <c r="J108" s="22"/>
      <c r="K108" s="35"/>
      <c r="L108" s="63"/>
      <c r="M108" s="64"/>
      <c r="N108" s="64"/>
      <c r="O108" s="63"/>
      <c r="P108" s="9"/>
      <c r="Q108" s="1">
        <f t="shared" si="12"/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3" customFormat="1" ht="12.75">
      <c r="A109" s="30"/>
      <c r="B109" s="19"/>
      <c r="C109" s="19"/>
      <c r="D109" s="22"/>
      <c r="E109" s="23"/>
      <c r="F109" s="51"/>
      <c r="G109" s="49"/>
      <c r="H109" s="32"/>
      <c r="I109" s="32"/>
      <c r="J109" s="22"/>
      <c r="K109" s="35"/>
      <c r="L109" s="63"/>
      <c r="M109" s="64"/>
      <c r="N109" s="64"/>
      <c r="O109" s="63"/>
      <c r="P109" s="9"/>
      <c r="Q109" s="1">
        <f t="shared" si="12"/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5" customFormat="1" ht="13.5" thickBot="1">
      <c r="A110" s="30"/>
      <c r="B110" s="19"/>
      <c r="C110" s="19"/>
      <c r="D110" s="22"/>
      <c r="E110" s="23"/>
      <c r="F110" s="51"/>
      <c r="G110" s="49"/>
      <c r="H110" s="32"/>
      <c r="I110" s="32"/>
      <c r="J110" s="22"/>
      <c r="K110" s="35"/>
      <c r="L110" s="63"/>
      <c r="M110" s="64"/>
      <c r="N110" s="64"/>
      <c r="O110" s="63"/>
      <c r="P110" s="9"/>
      <c r="Q110" s="1">
        <f t="shared" si="12"/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2.75">
      <c r="Q111" s="1">
        <f t="shared" si="12"/>
      </c>
    </row>
    <row r="112" ht="12.75">
      <c r="Q112" s="1">
        <f t="shared" si="12"/>
      </c>
    </row>
    <row r="113" ht="12.75">
      <c r="Q113" s="1">
        <f t="shared" si="12"/>
      </c>
    </row>
    <row r="114" ht="12.75">
      <c r="Q114" s="1">
        <f t="shared" si="12"/>
      </c>
    </row>
    <row r="115" ht="12.75">
      <c r="Q115" s="1">
        <f t="shared" si="12"/>
      </c>
    </row>
    <row r="116" ht="12.75">
      <c r="Q116" s="1">
        <f t="shared" si="12"/>
      </c>
    </row>
    <row r="117" ht="12.75">
      <c r="Q117" s="1">
        <f t="shared" si="12"/>
      </c>
    </row>
    <row r="118" spans="17:29" ht="13.5" thickBot="1">
      <c r="Q118" s="1">
        <f t="shared" si="12"/>
      </c>
      <c r="AA118" s="5"/>
      <c r="AB118" s="5"/>
      <c r="AC118" s="5"/>
    </row>
    <row r="119" spans="17:29" ht="12.75">
      <c r="Q119" s="1">
        <f t="shared" si="12"/>
      </c>
      <c r="AA119" s="3"/>
      <c r="AB119" s="3"/>
      <c r="AC119" s="3"/>
    </row>
    <row r="120" spans="17:29" ht="13.5" thickBot="1">
      <c r="Q120" s="1">
        <f t="shared" si="12"/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7:26" ht="12.75">
      <c r="Q121" s="1">
        <f t="shared" si="12"/>
      </c>
      <c r="R121" s="3"/>
      <c r="S121" s="3"/>
      <c r="T121" s="3"/>
      <c r="U121" s="3"/>
      <c r="V121" s="3"/>
      <c r="W121" s="3"/>
      <c r="X121" s="3"/>
      <c r="Y121" s="3"/>
      <c r="Z121" s="3"/>
    </row>
    <row r="122" spans="17:26" ht="13.5" thickBot="1">
      <c r="Q122" s="1">
        <f t="shared" si="12"/>
      </c>
      <c r="R122" s="5"/>
      <c r="S122" s="5"/>
      <c r="T122" s="5"/>
      <c r="U122" s="5"/>
      <c r="V122" s="5"/>
      <c r="W122" s="5"/>
      <c r="X122" s="5"/>
      <c r="Y122" s="5"/>
      <c r="Z122" s="5"/>
    </row>
    <row r="123" ht="12.75">
      <c r="Q123" s="1">
        <f t="shared" si="12"/>
      </c>
    </row>
    <row r="124" ht="12.75">
      <c r="Q124" s="1">
        <f t="shared" si="12"/>
      </c>
    </row>
    <row r="125" ht="12.75">
      <c r="Q125" s="1">
        <f t="shared" si="12"/>
      </c>
    </row>
    <row r="126" ht="12.75">
      <c r="Q126" s="1">
        <f t="shared" si="12"/>
      </c>
    </row>
    <row r="127" ht="12.75">
      <c r="Q127" s="1">
        <f t="shared" si="12"/>
      </c>
    </row>
    <row r="128" ht="12.75">
      <c r="Q128" s="1">
        <f t="shared" si="12"/>
      </c>
    </row>
    <row r="129" ht="12.75">
      <c r="Q129" s="1">
        <f t="shared" si="12"/>
      </c>
    </row>
    <row r="130" ht="12.75">
      <c r="Q130" s="1">
        <f t="shared" si="12"/>
      </c>
    </row>
    <row r="131" spans="1:29" s="5" customFormat="1" ht="13.5" thickBot="1">
      <c r="A131" s="30"/>
      <c r="B131" s="19"/>
      <c r="C131" s="19"/>
      <c r="D131" s="22"/>
      <c r="E131" s="23"/>
      <c r="F131" s="51"/>
      <c r="G131" s="49"/>
      <c r="H131" s="32"/>
      <c r="I131" s="32"/>
      <c r="J131" s="22"/>
      <c r="K131" s="35"/>
      <c r="L131" s="63"/>
      <c r="M131" s="64"/>
      <c r="N131" s="64"/>
      <c r="O131" s="63"/>
      <c r="P131" s="9"/>
      <c r="Q131" s="1">
        <f t="shared" si="12"/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2.75">
      <c r="Q132" s="1">
        <f t="shared" si="12"/>
      </c>
    </row>
    <row r="133" ht="12.75">
      <c r="Q133" s="1">
        <f t="shared" si="12"/>
      </c>
    </row>
    <row r="134" ht="12.75">
      <c r="Q134" s="1">
        <f t="shared" si="12"/>
      </c>
    </row>
    <row r="135" ht="12.75">
      <c r="Q135" s="1">
        <f t="shared" si="12"/>
      </c>
    </row>
    <row r="136" ht="12.75">
      <c r="Q136" s="1">
        <f t="shared" si="12"/>
      </c>
    </row>
    <row r="137" ht="12.75">
      <c r="Q137" s="1">
        <f t="shared" si="12"/>
      </c>
    </row>
    <row r="138" ht="12.75">
      <c r="Q138" s="1">
        <f t="shared" si="12"/>
      </c>
    </row>
    <row r="139" ht="12.75">
      <c r="Q139" s="1">
        <f t="shared" si="12"/>
      </c>
    </row>
    <row r="140" ht="12.75">
      <c r="Q140" s="1">
        <f t="shared" si="12"/>
      </c>
    </row>
    <row r="141" spans="17:29" ht="13.5" thickBot="1">
      <c r="Q141" s="1">
        <f t="shared" si="12"/>
      </c>
      <c r="AA141" s="5"/>
      <c r="AB141" s="5"/>
      <c r="AC141" s="5"/>
    </row>
    <row r="142" ht="12.75">
      <c r="Q142" s="1">
        <f t="shared" si="12"/>
      </c>
    </row>
    <row r="143" spans="17:26" ht="13.5" thickBot="1">
      <c r="Q143" s="1">
        <f t="shared" si="12"/>
      </c>
      <c r="R143" s="5"/>
      <c r="S143" s="5"/>
      <c r="T143" s="5"/>
      <c r="U143" s="5"/>
      <c r="V143" s="5"/>
      <c r="W143" s="5"/>
      <c r="X143" s="5"/>
      <c r="Y143" s="5"/>
      <c r="Z143" s="5"/>
    </row>
    <row r="147" ht="12.75">
      <c r="Q147" s="1">
        <f>COUNT(Q53:Q143)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T28"/>
  <sheetViews>
    <sheetView workbookViewId="0" topLeftCell="A1">
      <selection activeCell="A14" sqref="A14:IV14"/>
    </sheetView>
  </sheetViews>
  <sheetFormatPr defaultColWidth="9.140625" defaultRowHeight="12.75"/>
  <cols>
    <col min="1" max="1" width="20.421875" style="0" customWidth="1"/>
    <col min="10" max="11" width="10.28125" style="0" customWidth="1"/>
    <col min="12" max="14" width="8.28125" style="0" customWidth="1"/>
    <col min="15" max="15" width="12.421875" style="0" customWidth="1"/>
    <col min="16" max="16" width="9.8515625" style="0" customWidth="1"/>
    <col min="17" max="18" width="9.421875" style="0" customWidth="1"/>
    <col min="19" max="19" width="6.421875" style="0" customWidth="1"/>
    <col min="20" max="20" width="9.421875" style="0" customWidth="1"/>
    <col min="21" max="21" width="14.57421875" style="0" customWidth="1"/>
    <col min="22" max="22" width="9.00390625" style="0" customWidth="1"/>
    <col min="23" max="25" width="6.57421875" style="0" customWidth="1"/>
    <col min="26" max="26" width="11.140625" style="0" bestFit="1" customWidth="1"/>
    <col min="27" max="27" width="10.57421875" style="0" bestFit="1" customWidth="1"/>
  </cols>
  <sheetData>
    <row r="3" spans="1:10" ht="12.75">
      <c r="A3" s="94"/>
      <c r="B3" s="93" t="s">
        <v>37</v>
      </c>
      <c r="C3" s="130"/>
      <c r="D3" s="130"/>
      <c r="E3" s="130"/>
      <c r="F3" s="130"/>
      <c r="G3" s="130"/>
      <c r="H3" s="130"/>
      <c r="I3" s="130"/>
      <c r="J3" s="131"/>
    </row>
    <row r="4" spans="1:10" ht="12.75">
      <c r="A4" s="93" t="s">
        <v>41</v>
      </c>
      <c r="B4" s="94" t="s">
        <v>105</v>
      </c>
      <c r="C4" s="132" t="s">
        <v>92</v>
      </c>
      <c r="D4" s="132" t="s">
        <v>36</v>
      </c>
      <c r="E4" s="132" t="s">
        <v>38</v>
      </c>
      <c r="F4" s="132" t="s">
        <v>85</v>
      </c>
      <c r="G4" s="132" t="s">
        <v>107</v>
      </c>
      <c r="H4" s="132" t="s">
        <v>84</v>
      </c>
      <c r="I4" s="132" t="s">
        <v>110</v>
      </c>
      <c r="J4" s="95" t="s">
        <v>40</v>
      </c>
    </row>
    <row r="5" spans="1:10" ht="12.75">
      <c r="A5" s="94" t="s">
        <v>43</v>
      </c>
      <c r="B5" s="133">
        <v>0</v>
      </c>
      <c r="C5" s="134">
        <v>1</v>
      </c>
      <c r="D5" s="134">
        <v>1</v>
      </c>
      <c r="E5" s="134">
        <v>0</v>
      </c>
      <c r="F5" s="134">
        <v>0</v>
      </c>
      <c r="G5" s="134">
        <v>0</v>
      </c>
      <c r="H5" s="134">
        <v>1</v>
      </c>
      <c r="I5" s="134">
        <v>0</v>
      </c>
      <c r="J5" s="96">
        <v>3</v>
      </c>
    </row>
    <row r="6" spans="1:10" ht="12.75">
      <c r="A6" s="97" t="s">
        <v>42</v>
      </c>
      <c r="B6" s="135">
        <v>0</v>
      </c>
      <c r="C6" s="136">
        <v>0</v>
      </c>
      <c r="D6" s="136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98">
        <v>0</v>
      </c>
    </row>
    <row r="7" spans="1:10" ht="12.75">
      <c r="A7" s="97" t="s">
        <v>44</v>
      </c>
      <c r="B7" s="135">
        <v>1</v>
      </c>
      <c r="C7" s="136">
        <v>1</v>
      </c>
      <c r="D7" s="136">
        <v>6</v>
      </c>
      <c r="E7" s="136">
        <v>6</v>
      </c>
      <c r="F7" s="136">
        <v>2</v>
      </c>
      <c r="G7" s="136">
        <v>1</v>
      </c>
      <c r="H7" s="136">
        <v>1</v>
      </c>
      <c r="I7" s="136">
        <v>1</v>
      </c>
      <c r="J7" s="98">
        <v>19</v>
      </c>
    </row>
    <row r="8" spans="1:10" ht="12.75">
      <c r="A8" s="99" t="s">
        <v>45</v>
      </c>
      <c r="B8" s="137">
        <v>0.6666666665696539</v>
      </c>
      <c r="C8" s="138">
        <v>1.8166666668257676</v>
      </c>
      <c r="D8" s="138">
        <v>10.433333333290648</v>
      </c>
      <c r="E8" s="138">
        <v>6.733333333104383</v>
      </c>
      <c r="F8" s="138">
        <v>4.2666666666045785</v>
      </c>
      <c r="G8" s="138">
        <v>5.716666666790843</v>
      </c>
      <c r="H8" s="138">
        <v>0.6499999998486601</v>
      </c>
      <c r="I8" s="138">
        <v>4.999999999883585</v>
      </c>
      <c r="J8" s="100">
        <v>35.28333333291812</v>
      </c>
    </row>
    <row r="12" ht="13.5" thickBot="1"/>
    <row r="13" spans="2:20" ht="12.75">
      <c r="B13" s="102" t="s">
        <v>38</v>
      </c>
      <c r="C13" s="103" t="s">
        <v>46</v>
      </c>
      <c r="D13" s="103" t="s">
        <v>36</v>
      </c>
      <c r="E13" s="103" t="s">
        <v>47</v>
      </c>
      <c r="F13" s="103" t="s">
        <v>48</v>
      </c>
      <c r="G13" s="103" t="s">
        <v>49</v>
      </c>
      <c r="H13" s="103" t="s">
        <v>50</v>
      </c>
      <c r="I13" s="103" t="s">
        <v>51</v>
      </c>
      <c r="J13" s="103" t="s">
        <v>52</v>
      </c>
      <c r="K13" s="103" t="s">
        <v>53</v>
      </c>
      <c r="L13" s="103" t="s">
        <v>54</v>
      </c>
      <c r="M13" s="103" t="s">
        <v>55</v>
      </c>
      <c r="N13" s="103" t="s">
        <v>56</v>
      </c>
      <c r="O13" s="103" t="s">
        <v>57</v>
      </c>
      <c r="P13" s="103" t="s">
        <v>39</v>
      </c>
      <c r="Q13" s="104" t="s">
        <v>58</v>
      </c>
      <c r="R13" s="104" t="s">
        <v>117</v>
      </c>
      <c r="S13" s="104" t="s">
        <v>40</v>
      </c>
      <c r="T13" s="105" t="s">
        <v>59</v>
      </c>
    </row>
    <row r="14" spans="1:20" s="112" customFormat="1" ht="12.75" hidden="1">
      <c r="A14" s="106" t="s">
        <v>61</v>
      </c>
      <c r="B14" s="109">
        <f>GETPIVOTDATA("Sum of System
Length",$A$3,"Group","RF")</f>
        <v>6.733333333104383</v>
      </c>
      <c r="C14" s="109"/>
      <c r="D14" s="109">
        <f>GETPIVOTDATA("Sum of System
Length",$A$3,"Group","PS")</f>
        <v>10.433333333290648</v>
      </c>
      <c r="E14" s="109">
        <f>GETPIVOTDATA("Sum of System
Length",$A$3,"Group","CTL")</f>
        <v>0.6666666665696539</v>
      </c>
      <c r="F14" s="109"/>
      <c r="G14" s="109"/>
      <c r="H14" s="109"/>
      <c r="I14" s="109">
        <f>GETPIVOTDATA("Sum of System
Length",$A$3,"Group","MOM")</f>
        <v>4.2666666666045785</v>
      </c>
      <c r="J14" s="109">
        <f>GETPIVOTDATA("Sum of System
Length",$A$3,"Group","OA")</f>
        <v>0.6499999998486601</v>
      </c>
      <c r="K14" s="109"/>
      <c r="L14" s="109"/>
      <c r="N14" s="109">
        <f>GETPIVOTDATA("Sum of System
Length",$A$3,"Group","PFS")</f>
        <v>5.716666666790843</v>
      </c>
      <c r="O14" s="109"/>
      <c r="P14" s="109">
        <f>GETPIVOTDATA("Sum of System
Length",$A$3,"Group","OTHER")</f>
        <v>1.8166666668257676</v>
      </c>
      <c r="Q14" s="110"/>
      <c r="R14" s="109">
        <f>GETPIVOTDATA("Sum of System
Length",$A$3,"Group","IT")</f>
        <v>4.999999999883585</v>
      </c>
      <c r="S14" s="110">
        <f>SUM(B14:R14)</f>
        <v>35.28333333291812</v>
      </c>
      <c r="T14" s="111"/>
    </row>
    <row r="15" spans="1:20" s="112" customFormat="1" ht="12.75">
      <c r="A15" s="106" t="s">
        <v>118</v>
      </c>
      <c r="B15" s="114">
        <f>IF(B14,SUM(B14/B24),"")</f>
        <v>0.0038966425214968865</v>
      </c>
      <c r="C15" s="114">
        <f>IF(C14,SUM(C14/B24),"")</f>
      </c>
      <c r="D15" s="114">
        <f>IF(D14,SUM(D14/B24),"")</f>
        <v>0.006037866877549538</v>
      </c>
      <c r="E15" s="114">
        <f>IF(E14,SUM(E14/B24),"")</f>
        <v>0.00038580619020419266</v>
      </c>
      <c r="F15" s="114">
        <f>IF(F14,SUM(F14/B24),"")</f>
      </c>
      <c r="G15" s="114">
        <f>IF(G14,SUM(G14/B24),"")</f>
      </c>
      <c r="H15" s="114">
        <f>IF(H14,SUM(H14/B24),"")</f>
      </c>
      <c r="I15" s="114">
        <f>IF(I14,SUM(I14/B24),"")</f>
        <v>0.002469159617630212</v>
      </c>
      <c r="J15" s="114">
        <f>IF(J14,SUM(J14/B24),"")</f>
        <v>0.00037616103541624466</v>
      </c>
      <c r="K15" s="114">
        <f>IF(K14,SUM(K14/B24),"")</f>
      </c>
      <c r="L15" s="114">
        <f>IF(L14,SUM(L14/B24),"")</f>
      </c>
      <c r="N15" s="114">
        <f>IF(N14,SUM(N14/B24),"")</f>
        <v>0.0033082880815542334</v>
      </c>
      <c r="O15" s="114">
        <f>IF(O14,SUM(O14/B24),"")</f>
      </c>
      <c r="P15" s="114">
        <f>IF(P14,SUM(P14/B24),"")</f>
        <v>0.0010513218685514858</v>
      </c>
      <c r="Q15" s="114">
        <f>IF(Q14,SUM(Q14/B24),"")</f>
      </c>
      <c r="R15" s="114">
        <f>IF(R14,SUM(R14/B24),"")</f>
        <v>0.002893546426885141</v>
      </c>
      <c r="S15" s="114">
        <f>IF(S14,SUM(S14/B24),"")</f>
        <v>0.020418792619287935</v>
      </c>
      <c r="T15" s="109">
        <f>IF(T14,SUM(T14/M13),"")</f>
      </c>
    </row>
    <row r="16" spans="1:20" ht="12.75">
      <c r="A16" s="106" t="s">
        <v>60</v>
      </c>
      <c r="B16" s="107">
        <v>0.009</v>
      </c>
      <c r="C16" s="107">
        <v>0.002</v>
      </c>
      <c r="D16" s="107">
        <v>0.009</v>
      </c>
      <c r="E16" s="107">
        <v>0.005</v>
      </c>
      <c r="F16" s="107">
        <v>0.001</v>
      </c>
      <c r="G16" s="107">
        <v>0.001</v>
      </c>
      <c r="H16" s="107">
        <v>0.001</v>
      </c>
      <c r="I16" s="107">
        <v>0.006</v>
      </c>
      <c r="J16" s="107">
        <v>0.002</v>
      </c>
      <c r="K16" s="107">
        <v>0</v>
      </c>
      <c r="L16" s="107">
        <v>0.001</v>
      </c>
      <c r="M16" s="107">
        <v>0.001</v>
      </c>
      <c r="N16" s="107">
        <v>0.003</v>
      </c>
      <c r="O16" s="107">
        <v>0.001</v>
      </c>
      <c r="P16" s="107">
        <v>0.003</v>
      </c>
      <c r="Q16" s="107">
        <v>0.001</v>
      </c>
      <c r="R16" s="107">
        <v>0.001</v>
      </c>
      <c r="S16" s="107">
        <v>0.04600000000000001</v>
      </c>
      <c r="T16" s="108"/>
    </row>
    <row r="18" spans="1:19" ht="13.5" thickBot="1">
      <c r="A18" s="115" t="s">
        <v>62</v>
      </c>
      <c r="B18">
        <f>GETPIVOTDATA("Sum of Store Lost",$A$3,"Group","RF")</f>
        <v>6</v>
      </c>
      <c r="D18">
        <f>GETPIVOTDATA("Sum of Store Lost",$A$3,"Group","PS")</f>
        <v>6</v>
      </c>
      <c r="E18">
        <f>GETPIVOTDATA("Sum of Store Lost",$A$3,"Group","CTL")</f>
        <v>1</v>
      </c>
      <c r="I18">
        <f>GETPIVOTDATA("Sum of Store Lost",$A$3,"Group","MOM")</f>
        <v>2</v>
      </c>
      <c r="J18">
        <f>GETPIVOTDATA("Sum of Store Lost",$A$3,"Group","OA")</f>
        <v>1</v>
      </c>
      <c r="N18">
        <f>GETPIVOTDATA("Sum of Store Lost",$A$3,"Group","PFS")</f>
        <v>1</v>
      </c>
      <c r="P18">
        <f>GETPIVOTDATA("Sum of Store Lost",$A$3,"Group","OTHER")</f>
        <v>1</v>
      </c>
      <c r="R18">
        <f>GETPIVOTDATA("Sum of Store Lost",$A$3,"Group","IT")</f>
        <v>1</v>
      </c>
      <c r="S18" s="110">
        <f>SUM(B18:R18)</f>
        <v>19</v>
      </c>
    </row>
    <row r="19" spans="2:19" ht="12.75">
      <c r="B19" s="102" t="s">
        <v>38</v>
      </c>
      <c r="C19" s="103" t="s">
        <v>46</v>
      </c>
      <c r="D19" s="103" t="s">
        <v>36</v>
      </c>
      <c r="E19" s="103" t="s">
        <v>47</v>
      </c>
      <c r="F19" s="103" t="s">
        <v>48</v>
      </c>
      <c r="G19" s="103" t="s">
        <v>49</v>
      </c>
      <c r="H19" s="103" t="s">
        <v>50</v>
      </c>
      <c r="I19" s="103" t="s">
        <v>85</v>
      </c>
      <c r="J19" s="103" t="s">
        <v>52</v>
      </c>
      <c r="K19" s="103" t="s">
        <v>53</v>
      </c>
      <c r="L19" s="103" t="s">
        <v>54</v>
      </c>
      <c r="M19" s="103" t="s">
        <v>55</v>
      </c>
      <c r="N19" s="103" t="s">
        <v>56</v>
      </c>
      <c r="O19" s="103" t="s">
        <v>57</v>
      </c>
      <c r="P19" s="103" t="s">
        <v>39</v>
      </c>
      <c r="Q19" s="104" t="s">
        <v>58</v>
      </c>
      <c r="R19" s="104" t="s">
        <v>117</v>
      </c>
      <c r="S19" s="110"/>
    </row>
    <row r="20" spans="1:19" ht="12.75">
      <c r="A20" s="106" t="s">
        <v>118</v>
      </c>
      <c r="B20" s="118">
        <f aca="true" t="shared" si="0" ref="B20:J20">B18/($B23/24)</f>
        <v>0.08507118804275376</v>
      </c>
      <c r="C20" s="118">
        <f t="shared" si="0"/>
        <v>0</v>
      </c>
      <c r="D20" s="118">
        <f t="shared" si="0"/>
        <v>0.08507118804275376</v>
      </c>
      <c r="E20" s="118">
        <f t="shared" si="0"/>
        <v>0.01417853134045896</v>
      </c>
      <c r="F20" s="118">
        <f t="shared" si="0"/>
        <v>0</v>
      </c>
      <c r="G20" s="118">
        <f t="shared" si="0"/>
        <v>0</v>
      </c>
      <c r="H20" s="118">
        <f t="shared" si="0"/>
        <v>0</v>
      </c>
      <c r="I20" s="118">
        <f t="shared" si="0"/>
        <v>0.02835706268091792</v>
      </c>
      <c r="J20" s="122">
        <f t="shared" si="0"/>
        <v>0.01417853134045896</v>
      </c>
      <c r="K20" s="119"/>
      <c r="L20" s="118">
        <f>L18/($B23/24)</f>
        <v>0</v>
      </c>
      <c r="M20" s="122">
        <f>M18/($B23/24)</f>
        <v>0</v>
      </c>
      <c r="N20" s="122">
        <f>N18/($B23/24)</f>
        <v>0.01417853134045896</v>
      </c>
      <c r="O20" s="119"/>
      <c r="P20" s="119"/>
      <c r="Q20" s="118">
        <f>Q18/($B23/24)</f>
        <v>0</v>
      </c>
      <c r="R20" s="118">
        <f>R18/($B23/24)</f>
        <v>0.01417853134045896</v>
      </c>
      <c r="S20" s="118">
        <f>S18/($B23/24)</f>
        <v>0.2693920954687203</v>
      </c>
    </row>
    <row r="21" spans="1:20" ht="12.75">
      <c r="A21" s="116" t="s">
        <v>60</v>
      </c>
      <c r="B21" s="117">
        <v>0.12</v>
      </c>
      <c r="C21" s="117">
        <v>0.03</v>
      </c>
      <c r="D21" s="117">
        <v>0.1</v>
      </c>
      <c r="E21" s="117">
        <v>0.05</v>
      </c>
      <c r="F21" s="117">
        <v>0.01</v>
      </c>
      <c r="G21" s="117">
        <v>0.01</v>
      </c>
      <c r="H21" s="117">
        <v>0.02</v>
      </c>
      <c r="I21" s="117">
        <v>0.06</v>
      </c>
      <c r="J21" s="117">
        <v>0.02</v>
      </c>
      <c r="K21" s="113">
        <v>0</v>
      </c>
      <c r="L21" s="113">
        <v>0.01</v>
      </c>
      <c r="M21" s="113">
        <v>0.01</v>
      </c>
      <c r="N21" s="113">
        <v>0.01</v>
      </c>
      <c r="O21" s="113">
        <v>0.01</v>
      </c>
      <c r="P21" s="113">
        <v>0.02</v>
      </c>
      <c r="Q21" s="113">
        <v>0.02</v>
      </c>
      <c r="R21" s="113">
        <v>0.01</v>
      </c>
      <c r="S21" s="113">
        <f>SUM(B21:R21)</f>
        <v>0.5100000000000001</v>
      </c>
      <c r="T21" s="101"/>
    </row>
    <row r="23" spans="1:2" ht="12.75">
      <c r="A23" s="13" t="s">
        <v>11</v>
      </c>
      <c r="B23" s="112">
        <f>'Main Data'!D59</f>
        <v>1692.700000000361</v>
      </c>
    </row>
    <row r="24" spans="1:2" ht="12.75">
      <c r="A24" s="120" t="s">
        <v>13</v>
      </c>
      <c r="B24" s="149">
        <f>'Main Data'!D61</f>
        <v>1727.983333333279</v>
      </c>
    </row>
    <row r="28" ht="12.75">
      <c r="A28" s="94"/>
    </row>
  </sheetData>
  <printOptions/>
  <pageMargins left="0.75" right="0.75" top="1" bottom="1" header="0.5" footer="0.5"/>
  <pageSetup horizontalDpi="600" verticalDpi="600" orientation="portrait" r:id="rId1"/>
  <ignoredErrors>
    <ignoredError sqref="E15 B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W13:W34"/>
  <sheetViews>
    <sheetView view="pageBreakPreview" zoomScale="60" workbookViewId="0" topLeftCell="A1">
      <selection activeCell="A1" sqref="A1"/>
    </sheetView>
  </sheetViews>
  <sheetFormatPr defaultColWidth="9.140625" defaultRowHeight="12.75"/>
  <sheetData>
    <row r="13" ht="12.75">
      <c r="W13" t="s">
        <v>63</v>
      </c>
    </row>
    <row r="15" ht="12.75">
      <c r="W15" t="s">
        <v>64</v>
      </c>
    </row>
    <row r="16" ht="12.75">
      <c r="W16" t="s">
        <v>65</v>
      </c>
    </row>
    <row r="17" ht="12.75">
      <c r="W17" t="s">
        <v>66</v>
      </c>
    </row>
    <row r="18" ht="12.75">
      <c r="W18" t="s">
        <v>67</v>
      </c>
    </row>
    <row r="19" ht="12.75">
      <c r="W19" t="s">
        <v>68</v>
      </c>
    </row>
    <row r="20" ht="12.75">
      <c r="W20" t="s">
        <v>69</v>
      </c>
    </row>
    <row r="21" ht="12.75">
      <c r="W21" t="s">
        <v>70</v>
      </c>
    </row>
    <row r="22" ht="12.75">
      <c r="W22" t="s">
        <v>71</v>
      </c>
    </row>
    <row r="23" ht="12.75">
      <c r="W23" t="s">
        <v>72</v>
      </c>
    </row>
    <row r="24" ht="12.75">
      <c r="W24" t="s">
        <v>73</v>
      </c>
    </row>
    <row r="25" ht="12.75">
      <c r="W25" t="s">
        <v>74</v>
      </c>
    </row>
    <row r="26" ht="12.75">
      <c r="W26" t="s">
        <v>75</v>
      </c>
    </row>
    <row r="27" ht="12.75">
      <c r="W27" t="s">
        <v>76</v>
      </c>
    </row>
    <row r="28" ht="12.75">
      <c r="W28" t="s">
        <v>77</v>
      </c>
    </row>
    <row r="29" ht="12.75">
      <c r="W29" t="s">
        <v>78</v>
      </c>
    </row>
    <row r="30" ht="12.75">
      <c r="W30" t="s">
        <v>79</v>
      </c>
    </row>
    <row r="31" ht="12.75">
      <c r="W31" t="s">
        <v>80</v>
      </c>
    </row>
    <row r="32" ht="12.75">
      <c r="W32" t="s">
        <v>81</v>
      </c>
    </row>
    <row r="33" ht="12.75">
      <c r="W33" t="s">
        <v>82</v>
      </c>
    </row>
    <row r="34" ht="12.75">
      <c r="W34" t="s">
        <v>83</v>
      </c>
    </row>
  </sheetData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view="pageBreakPreview" zoomScale="6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2005-08-26T15:17:20Z</cp:lastPrinted>
  <dcterms:created xsi:type="dcterms:W3CDTF">1998-01-15T00:06:45Z</dcterms:created>
  <dcterms:modified xsi:type="dcterms:W3CDTF">2007-08-24T13:41:20Z</dcterms:modified>
  <cp:category>Downtime</cp:category>
  <cp:version/>
  <cp:contentType/>
  <cp:contentStatus/>
</cp:coreProperties>
</file>