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530" yWindow="65521" windowWidth="10590" windowHeight="10725" tabRatio="772" activeTab="1"/>
  </bookViews>
  <sheets>
    <sheet name="Main Data" sheetId="1" r:id="rId1"/>
    <sheet name="Stats" sheetId="2" r:id="rId2"/>
    <sheet name="Downtime" sheetId="3" r:id="rId3"/>
    <sheet name="Faults Per Day" sheetId="4" r:id="rId4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Data'!$D$121</definedName>
    <definedName name="Mean_Time_Between_Faults">'Main Data'!$D$120</definedName>
    <definedName name="Number_of_Fills">'Main Data'!$D$113</definedName>
    <definedName name="Number_of_Intentional_Dumps">'Main Data'!$D$112</definedName>
    <definedName name="Number_of_Lost_Fills">'Main Data'!$D$111</definedName>
    <definedName name="_xlnm.Print_Area" localSheetId="3">'Faults Per Day'!$A$1:$W$67</definedName>
    <definedName name="_xlnm.Print_Area" localSheetId="0">'Main Data'!$A$2:$P$78</definedName>
    <definedName name="_xlnm.Print_Titles" localSheetId="0">'Main Data'!$5:$5</definedName>
    <definedName name="Refill_Time">'Main Data'!$D$1</definedName>
    <definedName name="Total_Schedule_Run_Length">'Main Data'!$D$117</definedName>
    <definedName name="Total_System_Downtime">'Main Data'!$K$113</definedName>
    <definedName name="Total_User_Beam">'Main Data'!$D$115</definedName>
    <definedName name="Total_User_Downtime">'Main Data'!$D$116</definedName>
    <definedName name="User_Beam_Days">'Main Data'!$E$115</definedName>
    <definedName name="X_ray_Availability">'Main Data'!$D$122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<sst xmlns="http://schemas.openxmlformats.org/spreadsheetml/2006/main" count="310" uniqueCount="131">
  <si>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</si>
  <si>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</si>
  <si>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</si>
  <si>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</si>
  <si>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</si>
  <si>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</si>
  <si>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</si>
  <si>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</si>
  <si>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</si>
  <si>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</si>
  <si>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</si>
  <si>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</si>
  <si>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</si>
  <si>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</si>
  <si>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</si>
  <si>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</si>
  <si>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</si>
  <si>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</si>
  <si>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</si>
  <si>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</si>
  <si>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</si>
  <si>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</si>
  <si>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</si>
  <si>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</si>
  <si>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</si>
  <si>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</si>
  <si>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</si>
  <si>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</si>
  <si>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</si>
  <si>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</si>
  <si>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</si>
  <si>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</si>
  <si>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</si>
  <si>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</si>
  <si>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</si>
  <si>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User Beam days</t>
  </si>
  <si>
    <t>PS</t>
  </si>
  <si>
    <t>Group</t>
  </si>
  <si>
    <t>Int Dump: End of Period</t>
  </si>
  <si>
    <t>RF</t>
  </si>
  <si>
    <t>UNK</t>
  </si>
  <si>
    <t>Other</t>
  </si>
  <si>
    <t>Intentional Dump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</si>
  <si>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</si>
  <si>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</si>
  <si>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</si>
  <si>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</si>
  <si>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</si>
  <si>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</si>
  <si>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</si>
  <si>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</si>
  <si>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</si>
  <si>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</si>
  <si>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</si>
  <si>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</si>
  <si>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</si>
  <si>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</si>
  <si>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</si>
  <si>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</si>
  <si>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</si>
  <si>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</si>
  <si>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</si>
  <si>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</si>
  <si>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</si>
  <si>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</si>
  <si>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 xml:space="preserve">Faults </t>
  </si>
  <si>
    <t>SI</t>
  </si>
  <si>
    <t>Downtime Budget</t>
  </si>
  <si>
    <t>0.90%  RF</t>
  </si>
  <si>
    <t>0.20% Diagnostics</t>
  </si>
  <si>
    <t>0.90% PS</t>
  </si>
  <si>
    <t>0.50% Controls</t>
  </si>
  <si>
    <t>0.10% Accelerator Intlks</t>
  </si>
  <si>
    <t>0.10% Beamline Intlks</t>
  </si>
  <si>
    <t>0.10% Radiation Intlks</t>
  </si>
  <si>
    <t>0.30% Water/ME</t>
  </si>
  <si>
    <t>0.30% Vacuum</t>
  </si>
  <si>
    <t>0.10% Operations</t>
  </si>
  <si>
    <t>0.10% Software</t>
  </si>
  <si>
    <t>0.00% Physics</t>
  </si>
  <si>
    <t>0.10% ID-FE</t>
  </si>
  <si>
    <t>0.10% Electrical - APS</t>
  </si>
  <si>
    <t>0.30% Electrical - ANL</t>
  </si>
  <si>
    <t>0.10% Cooling - ANL</t>
  </si>
  <si>
    <t>0.30% Other</t>
  </si>
  <si>
    <t>0.10% Unidentified</t>
  </si>
  <si>
    <t>-------</t>
  </si>
  <si>
    <t>4.6% Total</t>
  </si>
  <si>
    <t>Quad P.S. trip      [PS]</t>
  </si>
  <si>
    <t>BPM glitch        [DIAG]</t>
  </si>
  <si>
    <t>PS cab. water leak  [PS]</t>
  </si>
  <si>
    <t>RF4 HVPS trip       [RF]</t>
  </si>
  <si>
    <t>RF2 LLRF trip       [RF]</t>
  </si>
  <si>
    <t>DIA</t>
  </si>
  <si>
    <t>Inhibits beam to user</t>
  </si>
  <si>
    <t>Fill &lt;1 hr</t>
  </si>
  <si>
    <t>Investigation, replaced quad.</t>
  </si>
  <si>
    <t>Pump trip,.72[MOM];PS trip,.83[PS];EPS trip,1hr[SI]</t>
  </si>
  <si>
    <t xml:space="preserve">S15A:P0 glitch tripped RTFB loops, refill [DIAG] </t>
  </si>
  <si>
    <t>Int. dump to fix water leak and replace quad PS[PS]</t>
  </si>
  <si>
    <t xml:space="preserve">Tightened connection in rack, refilled [RF] </t>
  </si>
  <si>
    <t>Downtime for Run 2006-2</t>
  </si>
  <si>
    <t>PFS</t>
  </si>
  <si>
    <t>Pump 401 glitch    [PFs]</t>
  </si>
  <si>
    <t>Water flow faults  [PFS]</t>
  </si>
  <si>
    <t>S40 RF Cav3&amp;4 Vacuum[RF]</t>
  </si>
  <si>
    <t>Investigation, refill [RF]</t>
  </si>
  <si>
    <t>Investigation showed pump control problem    [PFS]</t>
  </si>
  <si>
    <t xml:space="preserve">Investigation, refill </t>
  </si>
  <si>
    <t xml:space="preserve"> Investigation, refill [RF] </t>
  </si>
  <si>
    <t>S3A:V4 P.S. trip    [PS]</t>
  </si>
  <si>
    <t>Swapped P.S. and troubleshoot GESPAC problems  [PS]</t>
  </si>
  <si>
    <t>RTFB BPM glitch   [DIAG]</t>
  </si>
  <si>
    <t>OTHER</t>
  </si>
  <si>
    <t>Bldg450 pwr.glitch[OTHER]</t>
  </si>
  <si>
    <t xml:space="preserve">APS pump trips     [PFS] </t>
  </si>
  <si>
    <t>OA</t>
  </si>
  <si>
    <t>Problem with bldg 450 degassifier</t>
  </si>
  <si>
    <t>SR had to be reconditioned. Tuning issues</t>
  </si>
  <si>
    <t>Pwr glitch caused pump disturbance, recover, refill</t>
  </si>
  <si>
    <t>Multiple P.S. trip[UNK]</t>
  </si>
  <si>
    <t>RF2 HVPS trip       [RF]</t>
  </si>
  <si>
    <t>Recover from Booster &amp; SR P.S. trips, refill [UNK</t>
  </si>
  <si>
    <t>BPM module failure[DIAG]</t>
  </si>
  <si>
    <t>S38 Hybrid flow trip[RF]</t>
  </si>
  <si>
    <t>RF4 cathode V drop  [RF]</t>
  </si>
  <si>
    <t>Linac RF Window leak[RF]</t>
  </si>
  <si>
    <t>Dropped below 50mA, replaced ion pump &amp; RF window</t>
  </si>
  <si>
    <t>S38 Hybrid Flow Trip[RF]</t>
  </si>
  <si>
    <t>MOM</t>
  </si>
  <si>
    <t>Run 2006-2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</si>
</sst>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  <numFmt numFmtId="200" formatCode="m/d/yy\ h:mm;@"/>
    <numFmt numFmtId="201" formatCode="[$-409]dddd\,\ mmmm\ dd\,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26.75"/>
      <name val="Arial"/>
      <family val="0"/>
    </font>
    <font>
      <b/>
      <sz val="12"/>
      <name val="Arial"/>
      <family val="2"/>
    </font>
    <font>
      <b/>
      <sz val="17"/>
      <name val="Arial"/>
      <family val="2"/>
    </font>
    <font>
      <sz val="19.5"/>
      <name val="Arial"/>
      <family val="2"/>
    </font>
    <font>
      <sz val="29.5"/>
      <name val="Arial"/>
      <family val="0"/>
    </font>
    <font>
      <sz val="33"/>
      <name val="Arial"/>
      <family val="0"/>
    </font>
    <font>
      <sz val="12"/>
      <name val="Arial"/>
      <family val="2"/>
    </font>
    <font>
      <sz val="18.5"/>
      <name val="Arial"/>
      <family val="2"/>
    </font>
    <font>
      <b/>
      <sz val="37"/>
      <name val="Arial"/>
      <family val="0"/>
    </font>
    <font>
      <b/>
      <sz val="33.25"/>
      <name val="Arial"/>
      <family val="0"/>
    </font>
    <font>
      <b/>
      <sz val="15.5"/>
      <name val="Arial"/>
      <family val="2"/>
    </font>
    <font>
      <sz val="17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2" borderId="3" xfId="0" applyNumberFormat="1" applyFont="1" applyFill="1" applyBorder="1" applyAlignment="1" applyProtection="1">
      <alignment horizontal="left"/>
      <protection/>
    </xf>
    <xf numFmtId="2" fontId="0" fillId="0" borderId="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 horizontal="right"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2" fontId="0" fillId="4" borderId="3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77" fontId="0" fillId="4" borderId="3" xfId="0" applyNumberFormat="1" applyFont="1" applyFill="1" applyBorder="1" applyAlignment="1">
      <alignment horizontal="lef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/>
      <protection locked="0"/>
    </xf>
    <xf numFmtId="0" fontId="0" fillId="4" borderId="3" xfId="0" applyNumberFormat="1" applyFont="1" applyFill="1" applyBorder="1" applyAlignment="1" applyProtection="1">
      <alignment horizontal="left"/>
      <protection/>
    </xf>
    <xf numFmtId="177" fontId="0" fillId="4" borderId="3" xfId="0" applyNumberFormat="1" applyFont="1" applyFill="1" applyBorder="1" applyAlignment="1">
      <alignment wrapText="1"/>
    </xf>
    <xf numFmtId="0" fontId="0" fillId="4" borderId="3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177" fontId="0" fillId="0" borderId="3" xfId="0" applyNumberFormat="1" applyFont="1" applyFill="1" applyBorder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0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 applyProtection="1">
      <alignment/>
      <protection locked="0"/>
    </xf>
    <xf numFmtId="177" fontId="0" fillId="5" borderId="3" xfId="0" applyNumberFormat="1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 applyProtection="1">
      <alignment/>
      <protection/>
    </xf>
    <xf numFmtId="0" fontId="0" fillId="5" borderId="3" xfId="0" applyNumberFormat="1" applyFont="1" applyFill="1" applyBorder="1" applyAlignment="1" applyProtection="1">
      <alignment/>
      <protection locked="0"/>
    </xf>
    <xf numFmtId="0" fontId="0" fillId="5" borderId="3" xfId="0" applyNumberFormat="1" applyFont="1" applyFill="1" applyBorder="1" applyAlignment="1" applyProtection="1">
      <alignment horizontal="left"/>
      <protection/>
    </xf>
    <xf numFmtId="177" fontId="0" fillId="5" borderId="3" xfId="0" applyNumberFormat="1" applyFont="1" applyFill="1" applyBorder="1" applyAlignment="1">
      <alignment/>
    </xf>
    <xf numFmtId="177" fontId="0" fillId="6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/>
      <protection locked="0"/>
    </xf>
    <xf numFmtId="0" fontId="0" fillId="6" borderId="3" xfId="0" applyNumberFormat="1" applyFont="1" applyFill="1" applyBorder="1" applyAlignment="1" applyProtection="1">
      <alignment horizontal="left"/>
      <protection/>
    </xf>
    <xf numFmtId="177" fontId="0" fillId="6" borderId="3" xfId="0" applyNumberFormat="1" applyFont="1" applyFill="1" applyBorder="1" applyAlignment="1">
      <alignment/>
    </xf>
    <xf numFmtId="200" fontId="0" fillId="6" borderId="0" xfId="0" applyNumberForma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Run 2006-2 Downtime by System 
May 30 - August 25, 2006
 Scheduled User Time =  1752 hours                                  
User downtime= 47.67 hours</a:t>
            </a:r>
          </a:p>
        </c:rich>
      </c:tx>
      <c:layout>
        <c:manualLayout>
          <c:xMode val="factor"/>
          <c:yMode val="factor"/>
          <c:x val="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895"/>
          <c:w val="0.88175"/>
          <c:h val="0.89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Stats!$A$14</c:f>
              <c:strCache>
                <c:ptCount val="1"/>
                <c:pt idx="0">
                  <c:v>Hours for 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Unidentified</c:v>
                </c:pt>
              </c:strCache>
            </c:strRef>
          </c:cat>
          <c:val>
            <c:numRef>
              <c:f>Stats!$B$14:$Q$14</c:f>
              <c:numCache>
                <c:ptCount val="16"/>
                <c:pt idx="0">
                  <c:v>22.71666666632518</c:v>
                </c:pt>
                <c:pt idx="1">
                  <c:v>1.783333333209157</c:v>
                </c:pt>
                <c:pt idx="2">
                  <c:v>8.43333333323244</c:v>
                </c:pt>
                <c:pt idx="5">
                  <c:v>0.9999999999417923</c:v>
                </c:pt>
                <c:pt idx="7">
                  <c:v>4.000000000046566</c:v>
                </c:pt>
                <c:pt idx="8">
                  <c:v>3.6166666667559184</c:v>
                </c:pt>
                <c:pt idx="11">
                  <c:v>5.1166666666511444</c:v>
                </c:pt>
                <c:pt idx="15">
                  <c:v>0.9999999999417923</c:v>
                </c:pt>
              </c:numCache>
            </c:numRef>
          </c:val>
        </c:ser>
        <c:ser>
          <c:idx val="0"/>
          <c:order val="1"/>
          <c:tx>
            <c:strRef>
              <c:f>Stats!$A$15</c:f>
              <c:strCache>
                <c:ptCount val="1"/>
                <c:pt idx="0">
                  <c:v>Run 2006-2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Unidentified</c:v>
                </c:pt>
              </c:strCache>
            </c:strRef>
          </c:cat>
          <c:val>
            <c:numRef>
              <c:f>Stats!$B$15:$Q$15</c:f>
              <c:numCache>
                <c:ptCount val="16"/>
                <c:pt idx="0">
                  <c:v>0.012966380638706934</c:v>
                </c:pt>
                <c:pt idx="1">
                  <c:v>0.0010179036891165743</c:v>
                </c:pt>
                <c:pt idx="2">
                  <c:v>0.004813638006754103</c:v>
                </c:pt>
                <c:pt idx="3">
                  <c:v>0</c:v>
                </c:pt>
                <c:pt idx="4">
                  <c:v>0</c:v>
                </c:pt>
                <c:pt idx="5">
                  <c:v>0.0005707871153989922</c:v>
                </c:pt>
                <c:pt idx="6">
                  <c:v>0</c:v>
                </c:pt>
                <c:pt idx="7">
                  <c:v>0.002283148461755445</c:v>
                </c:pt>
                <c:pt idx="8">
                  <c:v>0.0020643467341974597</c:v>
                </c:pt>
                <c:pt idx="9">
                  <c:v>0</c:v>
                </c:pt>
                <c:pt idx="10">
                  <c:v>0</c:v>
                </c:pt>
                <c:pt idx="11">
                  <c:v>0.0029205274072859806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0.0005707871153989922</c:v>
                </c:pt>
              </c:numCache>
            </c:numRef>
          </c:val>
        </c:ser>
        <c:ser>
          <c:idx val="1"/>
          <c:order val="2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Unidentified</c:v>
                </c:pt>
              </c:strCache>
            </c:strRef>
          </c:cat>
          <c:val>
            <c:numRef>
              <c:f>Stats!$B$16:$Q$16</c:f>
              <c:numCache>
                <c:ptCount val="16"/>
                <c:pt idx="0">
                  <c:v>0.009</c:v>
                </c:pt>
                <c:pt idx="1">
                  <c:v>0.002</c:v>
                </c:pt>
                <c:pt idx="2">
                  <c:v>0.009</c:v>
                </c:pt>
                <c:pt idx="3">
                  <c:v>0.005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0.006</c:v>
                </c:pt>
                <c:pt idx="8">
                  <c:v>0.002</c:v>
                </c:pt>
                <c:pt idx="9">
                  <c:v>0</c:v>
                </c:pt>
                <c:pt idx="10">
                  <c:v>0.001</c:v>
                </c:pt>
                <c:pt idx="11">
                  <c:v>0.001</c:v>
                </c:pt>
                <c:pt idx="12">
                  <c:v>0.003</c:v>
                </c:pt>
                <c:pt idx="13">
                  <c:v>0.001</c:v>
                </c:pt>
                <c:pt idx="14">
                  <c:v>0.003</c:v>
                </c:pt>
                <c:pt idx="15">
                  <c:v>0.001</c:v>
                </c:pt>
              </c:numCache>
            </c:numRef>
          </c:val>
        </c:ser>
        <c:axId val="64212676"/>
        <c:axId val="41043173"/>
      </c:bar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auto val="1"/>
        <c:lblOffset val="80"/>
        <c:noMultiLvlLbl val="0"/>
      </c:catAx>
      <c:valAx>
        <c:axId val="41043173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64212676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5325"/>
          <c:w val="0.13"/>
          <c:h val="0.047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00" b="1" i="0" u="none" baseline="0">
                <a:latin typeface="Arial"/>
                <a:ea typeface="Arial"/>
                <a:cs typeface="Arial"/>
              </a:rPr>
              <a:t>Run 2006-2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9425"/>
          <c:w val="0.8357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Stats!$A$20</c:f>
              <c:strCache>
                <c:ptCount val="1"/>
                <c:pt idx="0">
                  <c:v>Run 2006-2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Stats!$B$19:$Q$19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Unidentified</c:v>
                </c:pt>
              </c:strCache>
            </c:strRef>
          </c:cat>
          <c:val>
            <c:numRef>
              <c:f>Stats!$B$20:$Q$20</c:f>
              <c:numCache>
                <c:ptCount val="16"/>
                <c:pt idx="0">
                  <c:v>0.1408202781200262</c:v>
                </c:pt>
                <c:pt idx="1">
                  <c:v>0.04224608343600786</c:v>
                </c:pt>
                <c:pt idx="2">
                  <c:v>0.04224608343600786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0.05632811124801048</c:v>
                </c:pt>
                <c:pt idx="12">
                  <c:v>0</c:v>
                </c:pt>
                <c:pt idx="15">
                  <c:v>0.02816405562400524</c:v>
                </c:pt>
              </c:numCache>
            </c:numRef>
          </c:val>
        </c:ser>
        <c:ser>
          <c:idx val="1"/>
          <c:order val="1"/>
          <c:tx>
            <c:strRef>
              <c:f>Stats!$A$21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Stats!$B$19:$Q$19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Unidentified</c:v>
                </c:pt>
              </c:strCache>
            </c:strRef>
          </c:cat>
          <c:val>
            <c:numRef>
              <c:f>Stats!$B$21:$Q$21</c:f>
              <c:numCache>
                <c:ptCount val="16"/>
                <c:pt idx="0">
                  <c:v>0.12</c:v>
                </c:pt>
                <c:pt idx="1">
                  <c:v>0.03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0.02</c:v>
                </c:pt>
              </c:numCache>
            </c:numRef>
          </c:val>
        </c:ser>
        <c:axId val="33844238"/>
        <c:axId val="36162687"/>
      </c:bar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0" i="0" u="none" baseline="0">
                <a:latin typeface="Arial"/>
                <a:ea typeface="Arial"/>
                <a:cs typeface="Arial"/>
              </a:defRPr>
            </a:pPr>
          </a:p>
        </c:txPr>
        <c:crossAx val="36162687"/>
        <c:crosses val="autoZero"/>
        <c:auto val="1"/>
        <c:lblOffset val="100"/>
        <c:noMultiLvlLbl val="0"/>
      </c:catAx>
      <c:valAx>
        <c:axId val="3616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325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3844238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2415"/>
          <c:w val="0.0945"/>
          <c:h val="0.04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110</xdr:row>
      <xdr:rowOff>114300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8648700" y="19116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123825</xdr:rowOff>
    </xdr:from>
    <xdr:ext cx="104775" cy="209550"/>
    <xdr:sp>
      <xdr:nvSpPr>
        <xdr:cNvPr id="2" name="TextBox 15"/>
        <xdr:cNvSpPr txBox="1">
          <a:spLocks noChangeArrowheads="1"/>
        </xdr:cNvSpPr>
      </xdr:nvSpPr>
      <xdr:spPr>
        <a:xfrm>
          <a:off x="8648700" y="11849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0.0005</cdr:x>
      <cdr:y>0.0425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590550</xdr:colOff>
      <xdr:row>65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2172950" cy="106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21</xdr:col>
      <xdr:colOff>523875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1332547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66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Blank="1" containsMixedTypes="0" count="20">
        <s v="Quad P.S. trip      [PS]"/>
        <s v="Pump 401 glitch    [PFs]"/>
        <m/>
        <s v="BPM glitch        [DIAG]"/>
        <s v="PS cab. water leak  [PS]"/>
        <s v="RF4 HVPS trip       [RF]"/>
        <s v="RF2 LLRF trip       [RF]"/>
        <s v="Int Dump: End of Period"/>
        <s v="Water flow faults  [PFS]"/>
        <s v="S40 RF Cav3&amp;4 Vacuum[RF]"/>
        <s v="S3A:V4 P.S. trip    [PS]"/>
        <s v="RTFB BPM glitch   [DIAG]"/>
        <s v="Bldg450 pwr.glitch[OTHER]"/>
        <s v="APS pump trips     [PFS] "/>
        <s v="Multiple P.S. trip[UNK]"/>
        <s v="RF2 HVPS trip       [RF]"/>
        <s v="BPM module failure[DIAG]"/>
        <s v="S38 Hybrid flow trip[RF]"/>
        <s v="RF4 cathode V drop  [RF]"/>
        <s v="Linac RF Window leak[RF]"/>
      </sharedItems>
    </cacheField>
    <cacheField name="DIN #">
      <sharedItems containsString="0" containsBlank="1" containsMixedTypes="0" containsNumber="1" containsInteger="1" count="22">
        <n v="105123"/>
        <n v="105124"/>
        <m/>
        <n v="105127"/>
        <n v="105128"/>
        <n v="105130"/>
        <n v="105131"/>
        <n v="105132"/>
        <n v="105136"/>
        <n v="105137"/>
        <n v="105138"/>
        <n v="105139"/>
        <n v="105142"/>
        <n v="105145"/>
        <n v="105147"/>
        <n v="105148"/>
        <n v="105151"/>
        <n v="105152"/>
        <n v="105154"/>
        <n v="105155"/>
        <n v="105158"/>
        <n v="105161"/>
      </sharedItems>
    </cacheField>
    <cacheField name="Audit">
      <sharedItems containsString="0" containsBlank="1" count="1">
        <m/>
      </sharedItems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String="0" containsBlank="1" containsMixedTypes="0" containsNumber="1" count="30">
        <n v="1.3666666665812954"/>
        <n v="2.549999999930151"/>
        <m/>
        <n v="0.39999999990686774"/>
        <n v="0.7166666667326353"/>
        <n v="1.0666666666511446"/>
        <n v="0.4333333333488554"/>
        <n v="0.3166666666511446"/>
        <n v="0"/>
        <n v="6.849999999802094"/>
        <n v="0.7833333334419876"/>
        <n v="0.6333333333022892"/>
        <n v="0.2166666666744277"/>
        <n v="2.06666666676756"/>
        <n v="5.499999999941792"/>
        <n v="0.2999999999301508"/>
        <n v="1.2500000000582077"/>
        <n v="1.5833333332557231"/>
        <n v="0.6166666667559184"/>
        <n v="3.450000000069849"/>
        <n v="0.6833333332906477"/>
        <n v="0.3666666666395031"/>
        <n v="1.0499999999301508"/>
        <n v="1.0833333333721384"/>
        <n v="0.6166666665812954"/>
        <n v="1.6999999999534339"/>
        <n v="0.41666666662786156"/>
        <n v="24.79999999998836"/>
        <n v="0.8499999999767169"/>
        <n v="1.5333333332673647"/>
      </sharedItems>
    </cacheField>
    <cacheField name="System&#10;Length">
      <sharedItems containsMixedTypes="1" containsNumber="1"/>
    </cacheField>
    <cacheField name="Cause">
      <sharedItems containsBlank="1" containsMixedTypes="0" count="11">
        <s v="PS"/>
        <m/>
        <s v="PFS"/>
        <s v="SI"/>
        <s v="DIA"/>
        <s v="RF"/>
        <s v="UNK"/>
        <s v="Scheduled"/>
        <s v="OTHER"/>
        <s v="OA"/>
        <s v="MOM"/>
      </sharedItems>
    </cacheField>
    <cacheField name="System">
      <sharedItems containsBlank="1" containsMixedTypes="0" count="10">
        <s v="PS"/>
        <m/>
        <s v="PFS"/>
        <s v="SI"/>
        <s v="DIA"/>
        <s v="RF"/>
        <s v="UNK"/>
        <s v="OTHER"/>
        <s v="OA"/>
        <s v="MOM"/>
      </sharedItems>
    </cacheField>
    <cacheField name="Group">
      <sharedItems containsBlank="1" containsMixedTypes="0" count="16">
        <s v="PS"/>
        <m/>
        <s v="PFS"/>
        <s v="SI"/>
        <s v="DIA"/>
        <s v="RF"/>
        <s v="UNK"/>
        <s v="OA"/>
        <s v="MOM"/>
        <s v="CTL"/>
        <s v="ME"/>
        <s v="OAG"/>
        <s v="OPS"/>
        <s v="Other"/>
        <s v="UES"/>
        <s v="XFD"/>
      </sharedItems>
    </cacheField>
    <cacheField name="Type">
      <sharedItems containsBlank="1" containsMixedTypes="0" count="4">
        <s v="Store Lost"/>
        <m/>
        <s v="Inhibits beam to user"/>
        <s v="Intentional Dump"/>
      </sharedItems>
    </cacheField>
    <cacheField name="Description">
      <sharedItems containsBlank="1" containsMixedTypes="0" count="17">
        <s v="Investigation, replaced quad."/>
        <s v="Pump trip,.72[MOM];PS trip,.83[PS];EPS trip,1hr[SI]"/>
        <m/>
        <s v="Fill &lt;1 hr"/>
        <s v="S15A:P0 glitch tripped RTFB loops, refill [DIAG] "/>
        <s v="Int. dump to fix water leak and replace quad PS[PS]"/>
        <s v="Tightened connection in rack, refilled [RF] "/>
        <s v="Investigation, refill [RF]"/>
        <s v="Investigation showed pump control problem    [PFS]"/>
        <s v="Investigation, refill "/>
        <s v=" Investigation, refill [RF] "/>
        <s v="Swapped P.S. and troubleshoot GESPAC problems  [PS]"/>
        <s v="Pwr glitch caused pump disturbance, recover, refill"/>
        <s v="Problem with bldg 450 degassifier"/>
        <s v="SR had to be reconditioned. Tuning issues"/>
        <s v="Recover from Booster &amp; SR P.S. trips, refill [UNK"/>
        <s v="Dropped below 50mA, replaced ion pump &amp; RF window"/>
      </sharedItems>
    </cacheField>
    <cacheField name="Store Lost">
      <sharedItems containsBlank="1" containsMixedTypes="1" containsNumber="1" containsInteger="1" count="3">
        <n v="1"/>
        <s v=""/>
        <m/>
      </sharedItems>
    </cacheField>
    <cacheField name="Intention. Dump">
      <sharedItems containsBlank="1" containsMixedTypes="1" containsNumber="1" containsInteger="1" count="3">
        <s v=""/>
        <m/>
        <n v="1"/>
      </sharedItems>
    </cacheField>
    <cacheField name="Inhibits Beam">
      <sharedItems containsBlank="1" containsMixedTypes="1" containsNumber="1" containsInteger="1" count="3">
        <s v=""/>
        <n v="1"/>
        <m/>
      </sharedItems>
    </cacheField>
    <cacheField name="TOTAL">
      <sharedItems containsString="0" containsBlank="1" containsMixedTypes="0" containsNumber="1" containsInteger="1" count="3">
        <n v="1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7">
        <item m="1" x="9"/>
        <item m="1" x="11"/>
        <item m="1" x="13"/>
        <item x="0"/>
        <item x="5"/>
        <item m="1" x="14"/>
        <item x="6"/>
        <item m="1" x="15"/>
        <item h="1" x="1"/>
        <item m="1" x="10"/>
        <item m="1" x="12"/>
        <item x="3"/>
        <item x="8"/>
        <item x="4"/>
        <item x="2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9">
    <i>
      <x v="3"/>
    </i>
    <i>
      <x v="4"/>
    </i>
    <i>
      <x v="6"/>
    </i>
    <i>
      <x v="11"/>
    </i>
    <i>
      <x v="12"/>
    </i>
    <i>
      <x v="13"/>
    </i>
    <i>
      <x v="14"/>
    </i>
    <i>
      <x v="15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59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30" customWidth="1"/>
    <col min="2" max="2" width="16.140625" style="19" bestFit="1" customWidth="1"/>
    <col min="3" max="3" width="14.421875" style="19" customWidth="1"/>
    <col min="4" max="4" width="7.7109375" style="22" customWidth="1"/>
    <col min="5" max="5" width="27.57421875" style="23" customWidth="1"/>
    <col min="6" max="6" width="9.421875" style="51" customWidth="1"/>
    <col min="7" max="7" width="3.28125" style="49" customWidth="1"/>
    <col min="8" max="8" width="14.421875" style="32" customWidth="1"/>
    <col min="9" max="9" width="14.28125" style="32" customWidth="1"/>
    <col min="10" max="10" width="7.7109375" style="22" customWidth="1"/>
    <col min="11" max="11" width="7.8515625" style="35" customWidth="1"/>
    <col min="12" max="12" width="11.421875" style="63" customWidth="1"/>
    <col min="13" max="13" width="13.28125" style="64" customWidth="1"/>
    <col min="14" max="14" width="11.421875" style="64" customWidth="1"/>
    <col min="15" max="15" width="22.00390625" style="63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7" t="s">
        <v>22</v>
      </c>
      <c r="B1" s="16"/>
      <c r="C1" s="16"/>
      <c r="D1" s="7">
        <v>0.25</v>
      </c>
      <c r="E1" s="14" t="s">
        <v>30</v>
      </c>
      <c r="F1" s="15"/>
      <c r="G1" s="48"/>
      <c r="H1" s="31"/>
      <c r="I1" s="31"/>
      <c r="J1" s="7"/>
      <c r="K1" s="33"/>
      <c r="L1" s="57"/>
      <c r="M1" s="58"/>
      <c r="N1" s="58"/>
      <c r="O1" s="57"/>
      <c r="P1" s="8"/>
      <c r="W1" s="6" t="s">
        <v>23</v>
      </c>
      <c r="X1" s="1">
        <f>D1/24</f>
        <v>0.010416666666666666</v>
      </c>
    </row>
    <row r="2" spans="1:16" ht="26.25">
      <c r="A2" s="154" t="s">
        <v>101</v>
      </c>
      <c r="B2" s="154"/>
      <c r="C2" s="154"/>
      <c r="D2" s="154"/>
      <c r="E2" s="154"/>
      <c r="F2" s="154"/>
      <c r="G2" s="154"/>
      <c r="H2" s="154"/>
      <c r="I2" s="154"/>
      <c r="J2" s="46"/>
      <c r="K2" s="46"/>
      <c r="L2" s="59"/>
      <c r="M2" s="60"/>
      <c r="N2" s="60"/>
      <c r="O2" s="59"/>
      <c r="P2" s="8"/>
    </row>
    <row r="3" spans="1:20" s="3" customFormat="1" ht="12.75">
      <c r="A3" s="29"/>
      <c r="B3" s="16"/>
      <c r="C3" s="16"/>
      <c r="D3" s="7"/>
      <c r="E3" s="14"/>
      <c r="F3" s="50"/>
      <c r="G3" s="48"/>
      <c r="H3" s="31"/>
      <c r="I3" s="31"/>
      <c r="J3" s="7"/>
      <c r="K3" s="33"/>
      <c r="L3" s="57"/>
      <c r="M3" s="58"/>
      <c r="N3" s="58"/>
      <c r="O3" s="57"/>
      <c r="P3" s="8"/>
      <c r="Q3" s="1"/>
      <c r="R3" s="1"/>
      <c r="S3" s="1"/>
      <c r="T3" s="1"/>
    </row>
    <row r="4" spans="1:20" s="3" customFormat="1" ht="12.75">
      <c r="A4" s="29"/>
      <c r="B4" s="16"/>
      <c r="C4" s="16"/>
      <c r="D4" s="7"/>
      <c r="E4" s="14"/>
      <c r="F4" s="50"/>
      <c r="G4" s="48"/>
      <c r="H4" s="31"/>
      <c r="I4" s="31"/>
      <c r="J4" s="7"/>
      <c r="K4" s="33"/>
      <c r="L4" s="57"/>
      <c r="M4" s="58"/>
      <c r="N4" s="58"/>
      <c r="O4" s="57"/>
      <c r="P4" s="8"/>
      <c r="Q4" s="1"/>
      <c r="R4" s="1"/>
      <c r="S4" s="1"/>
      <c r="T4" s="1"/>
    </row>
    <row r="5" spans="1:20" s="3" customFormat="1" ht="81" customHeight="1">
      <c r="A5" s="37" t="s">
        <v>3</v>
      </c>
      <c r="B5" s="39" t="s">
        <v>0</v>
      </c>
      <c r="C5" s="39" t="s">
        <v>1</v>
      </c>
      <c r="D5" s="24" t="s">
        <v>2</v>
      </c>
      <c r="E5" s="38" t="s">
        <v>19</v>
      </c>
      <c r="F5" s="37" t="s">
        <v>20</v>
      </c>
      <c r="G5" s="10" t="s">
        <v>6</v>
      </c>
      <c r="H5" s="39" t="s">
        <v>0</v>
      </c>
      <c r="I5" s="39" t="s">
        <v>1</v>
      </c>
      <c r="J5" s="24" t="s">
        <v>7</v>
      </c>
      <c r="K5" s="28" t="s">
        <v>21</v>
      </c>
      <c r="L5" s="61" t="s">
        <v>4</v>
      </c>
      <c r="M5" s="62" t="s">
        <v>10</v>
      </c>
      <c r="N5" s="62" t="s">
        <v>37</v>
      </c>
      <c r="O5" s="61" t="s">
        <v>5</v>
      </c>
      <c r="P5" s="11" t="s">
        <v>25</v>
      </c>
      <c r="Q5" s="44" t="s">
        <v>26</v>
      </c>
      <c r="R5" s="44" t="s">
        <v>34</v>
      </c>
      <c r="S5" s="44" t="s">
        <v>32</v>
      </c>
      <c r="T5" s="53" t="s">
        <v>33</v>
      </c>
    </row>
    <row r="6" spans="1:23" s="76" customFormat="1" ht="12.75">
      <c r="A6" s="134">
        <v>1</v>
      </c>
      <c r="B6" s="132">
        <v>38867.333333333336</v>
      </c>
      <c r="C6" s="132">
        <v>38867.37777777778</v>
      </c>
      <c r="D6" s="75">
        <f aca="true" t="shared" si="0" ref="D6:D17">(C6-B6)*24</f>
        <v>1.0666666666511446</v>
      </c>
      <c r="E6" s="135" t="s">
        <v>88</v>
      </c>
      <c r="F6" s="136">
        <v>105123</v>
      </c>
      <c r="G6" s="137"/>
      <c r="H6" s="132">
        <v>38867.37777777778</v>
      </c>
      <c r="I6" s="132">
        <v>38867.43472222222</v>
      </c>
      <c r="J6" s="75">
        <f>(I6-H6)*24</f>
        <v>1.3666666665812954</v>
      </c>
      <c r="K6" s="75">
        <f>(I6-H6)*24</f>
        <v>1.3666666665812954</v>
      </c>
      <c r="L6" s="138" t="s">
        <v>36</v>
      </c>
      <c r="M6" s="138" t="s">
        <v>36</v>
      </c>
      <c r="N6" s="138" t="s">
        <v>36</v>
      </c>
      <c r="O6" s="139" t="s">
        <v>26</v>
      </c>
      <c r="P6" s="135" t="s">
        <v>96</v>
      </c>
      <c r="Q6" s="12">
        <f>IF($O6="Store Lost",1,"")</f>
        <v>1</v>
      </c>
      <c r="R6" s="12">
        <f aca="true" t="shared" si="1" ref="R6:R64">IF($L6="Scheduled",1,"")</f>
      </c>
      <c r="S6" s="12">
        <f>IF($O6="Inhibits beam to user",1,"")</f>
      </c>
      <c r="T6" s="54">
        <f>SUM(Q6:S6)</f>
        <v>1</v>
      </c>
      <c r="U6" s="3"/>
      <c r="V6" s="3"/>
      <c r="W6" s="3"/>
    </row>
    <row r="7" spans="1:23" s="85" customFormat="1" ht="12.75">
      <c r="A7" s="94">
        <v>2</v>
      </c>
      <c r="B7" s="86">
        <v>38867.43472222222</v>
      </c>
      <c r="C7" s="86">
        <v>38867.71041666667</v>
      </c>
      <c r="D7" s="81">
        <f t="shared" si="0"/>
        <v>6.616666666755918</v>
      </c>
      <c r="E7" s="87" t="s">
        <v>103</v>
      </c>
      <c r="F7" s="88">
        <v>105124</v>
      </c>
      <c r="G7" s="89"/>
      <c r="H7" s="86">
        <v>38867.71041666667</v>
      </c>
      <c r="I7" s="86">
        <v>38867.816666666666</v>
      </c>
      <c r="J7" s="81">
        <f>(I7-H7)*24</f>
        <v>2.549999999930151</v>
      </c>
      <c r="K7" s="81"/>
      <c r="L7" s="90"/>
      <c r="M7" s="91"/>
      <c r="N7" s="91"/>
      <c r="O7" s="92"/>
      <c r="P7" s="87" t="s">
        <v>97</v>
      </c>
      <c r="Q7" s="82">
        <f>IF($O7="Store Lost",1,"")</f>
      </c>
      <c r="R7" s="82">
        <f t="shared" si="1"/>
      </c>
      <c r="S7" s="82">
        <f aca="true" t="shared" si="2" ref="S7:S12">IF($O7="Inhibits beam to user",1,"")</f>
      </c>
      <c r="T7" s="83">
        <f>SUM(Q7:S7)</f>
        <v>0</v>
      </c>
      <c r="U7" s="84"/>
      <c r="V7" s="84"/>
      <c r="W7" s="84"/>
    </row>
    <row r="8" spans="1:23" s="76" customFormat="1" ht="12.75">
      <c r="A8" s="134"/>
      <c r="B8" s="132"/>
      <c r="C8" s="132"/>
      <c r="D8" s="75"/>
      <c r="E8" s="135"/>
      <c r="F8" s="136"/>
      <c r="G8" s="137"/>
      <c r="H8" s="141">
        <v>38867.71041666667</v>
      </c>
      <c r="I8" s="141">
        <v>38867.73333333333</v>
      </c>
      <c r="J8" s="142"/>
      <c r="K8" s="142">
        <f aca="true" t="shared" si="3" ref="K8:K18">(I8-H8)*24</f>
        <v>0.5499999998719431</v>
      </c>
      <c r="L8" s="143" t="s">
        <v>102</v>
      </c>
      <c r="M8" s="144" t="s">
        <v>102</v>
      </c>
      <c r="N8" s="144" t="s">
        <v>102</v>
      </c>
      <c r="O8" s="145" t="s">
        <v>26</v>
      </c>
      <c r="P8" s="146"/>
      <c r="Q8" s="12">
        <f>IF($O8="Store Lost",1,"")</f>
        <v>1</v>
      </c>
      <c r="R8" s="12">
        <f t="shared" si="1"/>
      </c>
      <c r="S8" s="12">
        <f t="shared" si="2"/>
      </c>
      <c r="T8" s="54">
        <f>SUM(Q8:S8)</f>
        <v>1</v>
      </c>
      <c r="U8" s="3"/>
      <c r="V8" s="3"/>
      <c r="W8" s="3"/>
    </row>
    <row r="9" spans="1:23" s="76" customFormat="1" ht="12.75">
      <c r="A9" s="134"/>
      <c r="B9" s="132"/>
      <c r="C9" s="132"/>
      <c r="D9" s="75"/>
      <c r="E9" s="135"/>
      <c r="F9" s="136"/>
      <c r="G9" s="137"/>
      <c r="H9" s="147">
        <v>38867.731944444444</v>
      </c>
      <c r="I9" s="147">
        <v>38867.76736111111</v>
      </c>
      <c r="J9" s="148"/>
      <c r="K9" s="148">
        <f t="shared" si="3"/>
        <v>0.8499999999767169</v>
      </c>
      <c r="L9" s="149" t="s">
        <v>36</v>
      </c>
      <c r="M9" s="150" t="s">
        <v>36</v>
      </c>
      <c r="N9" s="150" t="s">
        <v>36</v>
      </c>
      <c r="O9" s="151" t="s">
        <v>94</v>
      </c>
      <c r="P9" s="152"/>
      <c r="Q9" s="12">
        <f>IF($O9="Store Lost",1,"")</f>
      </c>
      <c r="R9" s="12">
        <f t="shared" si="1"/>
      </c>
      <c r="S9" s="12">
        <f t="shared" si="2"/>
        <v>1</v>
      </c>
      <c r="T9" s="54">
        <f>SUM(Q9:S9)</f>
        <v>1</v>
      </c>
      <c r="U9" s="3"/>
      <c r="V9" s="3"/>
      <c r="W9" s="3"/>
    </row>
    <row r="10" spans="1:23" s="76" customFormat="1" ht="12.75">
      <c r="A10" s="134"/>
      <c r="B10" s="132"/>
      <c r="C10" s="132"/>
      <c r="D10" s="75"/>
      <c r="E10" s="135"/>
      <c r="F10" s="136"/>
      <c r="G10" s="137"/>
      <c r="H10" s="141">
        <v>38867.76875</v>
      </c>
      <c r="I10" s="141">
        <v>38867.775</v>
      </c>
      <c r="J10" s="142"/>
      <c r="K10" s="142">
        <f t="shared" si="3"/>
        <v>0.1499999999650754</v>
      </c>
      <c r="L10" s="143" t="s">
        <v>102</v>
      </c>
      <c r="M10" s="144" t="s">
        <v>102</v>
      </c>
      <c r="N10" s="144" t="s">
        <v>102</v>
      </c>
      <c r="O10" s="145" t="s">
        <v>94</v>
      </c>
      <c r="P10" s="146"/>
      <c r="Q10" s="12"/>
      <c r="R10" s="12"/>
      <c r="S10" s="12">
        <f t="shared" si="2"/>
        <v>1</v>
      </c>
      <c r="T10" s="54"/>
      <c r="U10" s="3"/>
      <c r="V10" s="3"/>
      <c r="W10" s="3"/>
    </row>
    <row r="11" spans="1:23" s="76" customFormat="1" ht="12.75">
      <c r="A11" s="134"/>
      <c r="B11" s="132"/>
      <c r="C11" s="132"/>
      <c r="D11" s="75"/>
      <c r="E11" s="135"/>
      <c r="F11" s="136"/>
      <c r="G11" s="137"/>
      <c r="H11" s="147">
        <v>38867.775</v>
      </c>
      <c r="I11" s="147">
        <v>38867.78611111111</v>
      </c>
      <c r="J11" s="148"/>
      <c r="K11" s="148">
        <f t="shared" si="3"/>
        <v>0.26666666666278616</v>
      </c>
      <c r="L11" s="149" t="s">
        <v>66</v>
      </c>
      <c r="M11" s="150" t="s">
        <v>66</v>
      </c>
      <c r="N11" s="150" t="s">
        <v>66</v>
      </c>
      <c r="O11" s="151" t="s">
        <v>94</v>
      </c>
      <c r="P11" s="152" t="s">
        <v>95</v>
      </c>
      <c r="Q11" s="12"/>
      <c r="R11" s="12"/>
      <c r="S11" s="12">
        <f t="shared" si="2"/>
        <v>1</v>
      </c>
      <c r="T11" s="54"/>
      <c r="U11" s="3"/>
      <c r="V11" s="3"/>
      <c r="W11" s="3"/>
    </row>
    <row r="12" spans="1:23" s="76" customFormat="1" ht="12.75">
      <c r="A12" s="134"/>
      <c r="B12" s="132"/>
      <c r="C12" s="132"/>
      <c r="D12" s="75"/>
      <c r="E12" s="135"/>
      <c r="F12" s="136"/>
      <c r="G12" s="137"/>
      <c r="H12" s="141">
        <v>38867.78611111111</v>
      </c>
      <c r="I12" s="141">
        <v>38867.816666666666</v>
      </c>
      <c r="J12" s="142"/>
      <c r="K12" s="142">
        <f t="shared" si="3"/>
        <v>0.7333333332790062</v>
      </c>
      <c r="L12" s="143" t="s">
        <v>66</v>
      </c>
      <c r="M12" s="144" t="s">
        <v>66</v>
      </c>
      <c r="N12" s="144" t="s">
        <v>66</v>
      </c>
      <c r="O12" s="145" t="s">
        <v>94</v>
      </c>
      <c r="P12" s="146"/>
      <c r="Q12" s="12">
        <f>IF($O12="Store Lost",1,"")</f>
      </c>
      <c r="R12" s="12">
        <f t="shared" si="1"/>
      </c>
      <c r="S12" s="12">
        <f t="shared" si="2"/>
        <v>1</v>
      </c>
      <c r="T12" s="54">
        <f aca="true" t="shared" si="4" ref="T12:T19">SUM(Q12:S12)</f>
        <v>1</v>
      </c>
      <c r="U12" s="3"/>
      <c r="V12" s="3"/>
      <c r="W12" s="3"/>
    </row>
    <row r="13" spans="1:23" s="76" customFormat="1" ht="12.75">
      <c r="A13" s="134">
        <v>4</v>
      </c>
      <c r="B13" s="132">
        <v>38867.816666666666</v>
      </c>
      <c r="C13" s="132">
        <v>38869.424305555556</v>
      </c>
      <c r="D13" s="75">
        <f t="shared" si="0"/>
        <v>38.58333333337214</v>
      </c>
      <c r="E13" s="135" t="s">
        <v>89</v>
      </c>
      <c r="F13" s="136">
        <v>105127</v>
      </c>
      <c r="G13" s="137"/>
      <c r="H13" s="132">
        <v>38869.424305555556</v>
      </c>
      <c r="I13" s="132">
        <v>38869.44097222222</v>
      </c>
      <c r="J13" s="75">
        <f aca="true" t="shared" si="5" ref="J13:J18">(I13-H13)*24</f>
        <v>0.39999999990686774</v>
      </c>
      <c r="K13" s="75">
        <f t="shared" si="3"/>
        <v>0.39999999990686774</v>
      </c>
      <c r="L13" s="138" t="s">
        <v>93</v>
      </c>
      <c r="M13" s="138" t="s">
        <v>93</v>
      </c>
      <c r="N13" s="138" t="s">
        <v>93</v>
      </c>
      <c r="O13" s="139" t="s">
        <v>26</v>
      </c>
      <c r="P13" s="135" t="s">
        <v>98</v>
      </c>
      <c r="Q13" s="12">
        <v>1</v>
      </c>
      <c r="R13" s="12">
        <f t="shared" si="1"/>
      </c>
      <c r="S13" s="12">
        <f aca="true" t="shared" si="6" ref="S13:S37">IF($O13="Inhibits beam to user",1,"")</f>
      </c>
      <c r="T13" s="54">
        <f t="shared" si="4"/>
        <v>1</v>
      </c>
      <c r="U13" s="3"/>
      <c r="V13" s="3"/>
      <c r="W13" s="3"/>
    </row>
    <row r="14" spans="1:23" s="85" customFormat="1" ht="12.75" customHeight="1">
      <c r="A14" s="94">
        <v>5</v>
      </c>
      <c r="B14" s="86">
        <v>38869.44097222222</v>
      </c>
      <c r="C14" s="86">
        <v>38869.49930555555</v>
      </c>
      <c r="D14" s="81">
        <f t="shared" si="0"/>
        <v>1.400000000023283</v>
      </c>
      <c r="E14" s="87" t="s">
        <v>90</v>
      </c>
      <c r="F14" s="88">
        <v>105128</v>
      </c>
      <c r="G14" s="89"/>
      <c r="H14" s="86">
        <v>38869.49930555555</v>
      </c>
      <c r="I14" s="86">
        <v>38869.52916666667</v>
      </c>
      <c r="J14" s="81">
        <f t="shared" si="5"/>
        <v>0.7166666667326353</v>
      </c>
      <c r="K14" s="81">
        <f t="shared" si="3"/>
        <v>0.7166666667326353</v>
      </c>
      <c r="L14" s="90" t="s">
        <v>36</v>
      </c>
      <c r="M14" s="90" t="s">
        <v>36</v>
      </c>
      <c r="N14" s="90" t="s">
        <v>36</v>
      </c>
      <c r="O14" s="92" t="s">
        <v>42</v>
      </c>
      <c r="P14" s="93" t="s">
        <v>99</v>
      </c>
      <c r="Q14" s="82">
        <v>1</v>
      </c>
      <c r="R14" s="82">
        <f t="shared" si="1"/>
      </c>
      <c r="S14" s="82">
        <f t="shared" si="6"/>
      </c>
      <c r="T14" s="83">
        <f t="shared" si="4"/>
        <v>1</v>
      </c>
      <c r="U14" s="84"/>
      <c r="V14" s="84"/>
      <c r="W14" s="84"/>
    </row>
    <row r="15" spans="1:23" s="76" customFormat="1" ht="12.75">
      <c r="A15" s="134">
        <v>6</v>
      </c>
      <c r="B15" s="132">
        <v>38869.52916666667</v>
      </c>
      <c r="C15" s="132">
        <v>38870.58541666667</v>
      </c>
      <c r="D15" s="75">
        <f t="shared" si="0"/>
        <v>25.350000000034925</v>
      </c>
      <c r="E15" s="135" t="s">
        <v>91</v>
      </c>
      <c r="F15" s="136">
        <v>105130</v>
      </c>
      <c r="G15" s="137"/>
      <c r="H15" s="132">
        <v>38870.58541666667</v>
      </c>
      <c r="I15" s="132">
        <v>38870.62986111111</v>
      </c>
      <c r="J15" s="75">
        <f t="shared" si="5"/>
        <v>1.0666666666511446</v>
      </c>
      <c r="K15" s="75">
        <f t="shared" si="3"/>
        <v>1.0666666666511446</v>
      </c>
      <c r="L15" s="138" t="s">
        <v>39</v>
      </c>
      <c r="M15" s="138" t="s">
        <v>39</v>
      </c>
      <c r="N15" s="138" t="s">
        <v>39</v>
      </c>
      <c r="O15" s="139" t="s">
        <v>26</v>
      </c>
      <c r="P15" s="135" t="s">
        <v>100</v>
      </c>
      <c r="Q15" s="12">
        <f>IF($O15="Store Lost",1,"")</f>
        <v>1</v>
      </c>
      <c r="R15" s="12">
        <f t="shared" si="1"/>
      </c>
      <c r="S15" s="12">
        <f t="shared" si="6"/>
      </c>
      <c r="T15" s="54">
        <f t="shared" si="4"/>
        <v>1</v>
      </c>
      <c r="U15" s="3"/>
      <c r="V15" s="3"/>
      <c r="W15" s="3"/>
    </row>
    <row r="16" spans="1:23" s="85" customFormat="1" ht="12.75">
      <c r="A16" s="94">
        <v>7</v>
      </c>
      <c r="B16" s="86">
        <v>38870.62986111111</v>
      </c>
      <c r="C16" s="86">
        <v>38872.479166666664</v>
      </c>
      <c r="D16" s="81">
        <f t="shared" si="0"/>
        <v>44.38333333324408</v>
      </c>
      <c r="E16" s="87" t="s">
        <v>92</v>
      </c>
      <c r="F16" s="88">
        <v>105131</v>
      </c>
      <c r="G16" s="89"/>
      <c r="H16" s="86">
        <v>38872.479166666664</v>
      </c>
      <c r="I16" s="86">
        <v>38872.49722222222</v>
      </c>
      <c r="J16" s="81">
        <f t="shared" si="5"/>
        <v>0.4333333333488554</v>
      </c>
      <c r="K16" s="81">
        <f t="shared" si="3"/>
        <v>0.4333333333488554</v>
      </c>
      <c r="L16" s="90" t="s">
        <v>39</v>
      </c>
      <c r="M16" s="90" t="s">
        <v>39</v>
      </c>
      <c r="N16" s="90" t="s">
        <v>39</v>
      </c>
      <c r="O16" s="92" t="s">
        <v>26</v>
      </c>
      <c r="P16" s="87"/>
      <c r="Q16" s="82">
        <f>IF($O16="Store Lost",1,"")</f>
        <v>1</v>
      </c>
      <c r="R16" s="82">
        <f t="shared" si="1"/>
      </c>
      <c r="S16" s="82">
        <f t="shared" si="6"/>
      </c>
      <c r="T16" s="83">
        <f t="shared" si="4"/>
        <v>1</v>
      </c>
      <c r="U16" s="84"/>
      <c r="V16" s="84"/>
      <c r="W16" s="84"/>
    </row>
    <row r="17" spans="1:23" s="76" customFormat="1" ht="12.75">
      <c r="A17" s="134">
        <v>8</v>
      </c>
      <c r="B17" s="132">
        <v>38872.49722222222</v>
      </c>
      <c r="C17" s="132">
        <v>38873.50555555556</v>
      </c>
      <c r="D17" s="75">
        <f t="shared" si="0"/>
        <v>24.200000000128057</v>
      </c>
      <c r="E17" s="135"/>
      <c r="F17" s="136">
        <v>105132</v>
      </c>
      <c r="G17" s="137"/>
      <c r="H17" s="132">
        <v>38842.50555555556</v>
      </c>
      <c r="I17" s="132">
        <v>38842.51875</v>
      </c>
      <c r="J17" s="75">
        <f t="shared" si="5"/>
        <v>0.3166666666511446</v>
      </c>
      <c r="K17" s="75">
        <f t="shared" si="3"/>
        <v>0.3166666666511446</v>
      </c>
      <c r="L17" s="138" t="s">
        <v>40</v>
      </c>
      <c r="M17" s="140" t="s">
        <v>40</v>
      </c>
      <c r="N17" s="140" t="s">
        <v>40</v>
      </c>
      <c r="O17" s="139" t="s">
        <v>26</v>
      </c>
      <c r="P17" s="135"/>
      <c r="Q17" s="12">
        <f>IF($O17="Store Lost",1,"")</f>
        <v>1</v>
      </c>
      <c r="R17" s="12">
        <f t="shared" si="1"/>
      </c>
      <c r="S17" s="12">
        <f t="shared" si="6"/>
      </c>
      <c r="T17" s="54">
        <f t="shared" si="4"/>
        <v>1</v>
      </c>
      <c r="U17" s="3"/>
      <c r="V17" s="3"/>
      <c r="W17" s="3"/>
    </row>
    <row r="18" spans="1:23" s="85" customFormat="1" ht="12.75">
      <c r="A18" s="94">
        <v>9</v>
      </c>
      <c r="B18" s="86">
        <v>38873.51875</v>
      </c>
      <c r="C18" s="86">
        <v>38874.333333333336</v>
      </c>
      <c r="D18" s="81">
        <f>(C18-B18)*24</f>
        <v>19.54999999998836</v>
      </c>
      <c r="E18" s="87" t="s">
        <v>38</v>
      </c>
      <c r="F18" s="88"/>
      <c r="G18" s="89"/>
      <c r="H18" s="86"/>
      <c r="I18" s="86"/>
      <c r="J18" s="81">
        <f t="shared" si="5"/>
        <v>0</v>
      </c>
      <c r="K18" s="81">
        <f t="shared" si="3"/>
        <v>0</v>
      </c>
      <c r="L18" s="90" t="s">
        <v>24</v>
      </c>
      <c r="M18" s="90"/>
      <c r="N18" s="90"/>
      <c r="O18" s="92"/>
      <c r="P18" s="87"/>
      <c r="Q18" s="82">
        <f>IF($O18="Store Lost",1,"")</f>
      </c>
      <c r="R18" s="82">
        <f t="shared" si="1"/>
        <v>1</v>
      </c>
      <c r="S18" s="82">
        <f t="shared" si="6"/>
      </c>
      <c r="T18" s="83">
        <f t="shared" si="4"/>
        <v>1</v>
      </c>
      <c r="U18" s="84"/>
      <c r="V18" s="84"/>
      <c r="W18" s="84"/>
    </row>
    <row r="19" spans="1:23" s="76" customFormat="1" ht="12.75">
      <c r="A19" s="66"/>
      <c r="B19" s="67"/>
      <c r="C19" s="67"/>
      <c r="D19" s="68">
        <f>SUM(D6:D18)</f>
        <v>161.1500000001979</v>
      </c>
      <c r="E19" s="69"/>
      <c r="F19" s="70"/>
      <c r="G19" s="71"/>
      <c r="H19" s="67"/>
      <c r="I19" s="67"/>
      <c r="J19" s="68">
        <f>SUM(J6:J18)</f>
        <v>6.849999999802094</v>
      </c>
      <c r="K19" s="68">
        <f>SUM(K6:K18)</f>
        <v>6.849999999627471</v>
      </c>
      <c r="L19" s="72"/>
      <c r="M19" s="73"/>
      <c r="N19" s="73"/>
      <c r="O19" s="74"/>
      <c r="P19" s="69"/>
      <c r="Q19" s="55">
        <f>IF($O19="Store Lost",1,"")</f>
      </c>
      <c r="R19" s="12">
        <f t="shared" si="1"/>
      </c>
      <c r="S19" s="12">
        <f t="shared" si="6"/>
      </c>
      <c r="T19" s="54">
        <f t="shared" si="4"/>
        <v>0</v>
      </c>
      <c r="U19" s="3"/>
      <c r="V19" s="3"/>
      <c r="W19" s="3"/>
    </row>
    <row r="20" spans="1:23" s="76" customFormat="1" ht="12.75">
      <c r="A20" s="134">
        <v>10</v>
      </c>
      <c r="B20" s="132">
        <v>38875.333333333336</v>
      </c>
      <c r="C20" s="132">
        <v>38876.42222222222</v>
      </c>
      <c r="D20" s="75">
        <f>(C20-B20)*24</f>
        <v>26.13333333330229</v>
      </c>
      <c r="E20" s="135" t="s">
        <v>91</v>
      </c>
      <c r="F20" s="136">
        <v>105136</v>
      </c>
      <c r="G20" s="137"/>
      <c r="H20" s="132">
        <v>38876.42222222222</v>
      </c>
      <c r="I20" s="132">
        <v>38876.44027777778</v>
      </c>
      <c r="J20" s="75">
        <f>(I20-H20)*24</f>
        <v>0.4333333333488554</v>
      </c>
      <c r="K20" s="75">
        <f>(I20-H20)*24</f>
        <v>0.4333333333488554</v>
      </c>
      <c r="L20" s="138" t="s">
        <v>39</v>
      </c>
      <c r="M20" s="138" t="s">
        <v>39</v>
      </c>
      <c r="N20" s="138" t="s">
        <v>39</v>
      </c>
      <c r="O20" s="139" t="s">
        <v>26</v>
      </c>
      <c r="P20" s="135" t="s">
        <v>106</v>
      </c>
      <c r="Q20" s="12">
        <v>1</v>
      </c>
      <c r="R20" s="12">
        <f t="shared" si="1"/>
      </c>
      <c r="S20" s="12">
        <f t="shared" si="6"/>
      </c>
      <c r="T20" s="54">
        <f aca="true" t="shared" si="7" ref="T20:T25">SUM(Q20:S20)</f>
        <v>1</v>
      </c>
      <c r="U20" s="3"/>
      <c r="V20" s="3"/>
      <c r="W20" s="3"/>
    </row>
    <row r="21" spans="1:23" s="85" customFormat="1" ht="12.75" customHeight="1">
      <c r="A21" s="94">
        <v>11</v>
      </c>
      <c r="B21" s="86">
        <v>38876.44027777778</v>
      </c>
      <c r="C21" s="86">
        <v>38876.802777777775</v>
      </c>
      <c r="D21" s="81">
        <f>(C21-B21)*24</f>
        <v>8.699999999895226</v>
      </c>
      <c r="E21" s="87" t="s">
        <v>104</v>
      </c>
      <c r="F21" s="88">
        <v>105137</v>
      </c>
      <c r="G21" s="89"/>
      <c r="H21" s="86">
        <v>38876.802777777775</v>
      </c>
      <c r="I21" s="86">
        <v>38876.83541666667</v>
      </c>
      <c r="J21" s="81">
        <f>(I21-H21)*24</f>
        <v>0.7833333334419876</v>
      </c>
      <c r="K21" s="81">
        <f>(I21-H21)*24</f>
        <v>0.7833333334419876</v>
      </c>
      <c r="L21" s="90" t="s">
        <v>102</v>
      </c>
      <c r="M21" s="90" t="s">
        <v>102</v>
      </c>
      <c r="N21" s="90" t="s">
        <v>102</v>
      </c>
      <c r="O21" s="92" t="s">
        <v>42</v>
      </c>
      <c r="P21" s="93" t="s">
        <v>107</v>
      </c>
      <c r="Q21" s="82">
        <v>1</v>
      </c>
      <c r="R21" s="82">
        <f t="shared" si="1"/>
      </c>
      <c r="S21" s="82">
        <f t="shared" si="6"/>
      </c>
      <c r="T21" s="83">
        <f t="shared" si="7"/>
        <v>1</v>
      </c>
      <c r="U21" s="84"/>
      <c r="V21" s="84"/>
      <c r="W21" s="84"/>
    </row>
    <row r="22" spans="1:23" s="76" customFormat="1" ht="12.75">
      <c r="A22" s="134">
        <v>12</v>
      </c>
      <c r="B22" s="132">
        <v>38876.83541666667</v>
      </c>
      <c r="C22" s="132">
        <v>38877.120833333334</v>
      </c>
      <c r="D22" s="75">
        <f>(C22-B22)*24</f>
        <v>6.849999999976717</v>
      </c>
      <c r="E22" s="76" t="s">
        <v>105</v>
      </c>
      <c r="F22" s="136">
        <v>105138</v>
      </c>
      <c r="G22" s="137"/>
      <c r="H22" s="132">
        <v>38877.120833333334</v>
      </c>
      <c r="I22" s="132">
        <v>38877.14722222222</v>
      </c>
      <c r="J22" s="75">
        <f>(I22-H22)*24</f>
        <v>0.6333333333022892</v>
      </c>
      <c r="K22" s="75">
        <f>(I22-H22)*24</f>
        <v>0.6333333333022892</v>
      </c>
      <c r="L22" s="138" t="s">
        <v>39</v>
      </c>
      <c r="M22" s="138" t="s">
        <v>39</v>
      </c>
      <c r="N22" s="138" t="s">
        <v>39</v>
      </c>
      <c r="O22" s="139" t="s">
        <v>26</v>
      </c>
      <c r="P22" s="135" t="s">
        <v>108</v>
      </c>
      <c r="Q22" s="12">
        <f aca="true" t="shared" si="8" ref="Q22:Q64">IF($O22="Store Lost",1,"")</f>
        <v>1</v>
      </c>
      <c r="R22" s="12">
        <f t="shared" si="1"/>
      </c>
      <c r="S22" s="12">
        <f t="shared" si="6"/>
      </c>
      <c r="T22" s="54">
        <f t="shared" si="7"/>
        <v>1</v>
      </c>
      <c r="U22" s="3"/>
      <c r="V22" s="3"/>
      <c r="W22" s="3"/>
    </row>
    <row r="23" spans="1:23" s="85" customFormat="1" ht="12.75">
      <c r="A23" s="94">
        <v>13</v>
      </c>
      <c r="B23" s="86">
        <v>38877.14722222222</v>
      </c>
      <c r="C23" s="86">
        <v>38879.68125</v>
      </c>
      <c r="D23" s="81">
        <f>(C23-B23)*24</f>
        <v>60.81666666670935</v>
      </c>
      <c r="E23" s="87" t="s">
        <v>92</v>
      </c>
      <c r="F23" s="88">
        <v>105139</v>
      </c>
      <c r="G23" s="89"/>
      <c r="H23" s="86">
        <v>38879.68125</v>
      </c>
      <c r="I23" s="86">
        <v>38879.69027777778</v>
      </c>
      <c r="J23" s="81">
        <f>(I23-H23)*24</f>
        <v>0.2166666666744277</v>
      </c>
      <c r="K23" s="81">
        <f>(I23-H23)*24</f>
        <v>0.2166666666744277</v>
      </c>
      <c r="L23" s="90" t="s">
        <v>39</v>
      </c>
      <c r="M23" s="90" t="s">
        <v>39</v>
      </c>
      <c r="N23" s="90" t="s">
        <v>39</v>
      </c>
      <c r="O23" s="92" t="s">
        <v>26</v>
      </c>
      <c r="P23" s="87" t="s">
        <v>109</v>
      </c>
      <c r="Q23" s="82">
        <f t="shared" si="8"/>
        <v>1</v>
      </c>
      <c r="R23" s="82">
        <f t="shared" si="1"/>
      </c>
      <c r="S23" s="82">
        <f t="shared" si="6"/>
      </c>
      <c r="T23" s="83">
        <f t="shared" si="7"/>
        <v>1</v>
      </c>
      <c r="U23" s="84"/>
      <c r="V23" s="84"/>
      <c r="W23" s="84"/>
    </row>
    <row r="24" spans="1:23" s="76" customFormat="1" ht="12.75">
      <c r="A24" s="134">
        <v>14</v>
      </c>
      <c r="B24" s="132">
        <v>38879.69027777778</v>
      </c>
      <c r="C24" s="132">
        <v>38881.333333333336</v>
      </c>
      <c r="D24" s="75">
        <f>(C24-B24)*24</f>
        <v>39.433333333348855</v>
      </c>
      <c r="E24" s="135" t="s">
        <v>38</v>
      </c>
      <c r="F24" s="136"/>
      <c r="G24" s="137"/>
      <c r="H24" s="132"/>
      <c r="I24" s="132"/>
      <c r="J24" s="75">
        <f>(I24-H24)*24</f>
        <v>0</v>
      </c>
      <c r="K24" s="75">
        <f>(I24-H24)*24</f>
        <v>0</v>
      </c>
      <c r="L24" s="138" t="s">
        <v>24</v>
      </c>
      <c r="M24" s="138"/>
      <c r="N24" s="138"/>
      <c r="O24" s="139"/>
      <c r="P24" s="135"/>
      <c r="Q24" s="12">
        <f t="shared" si="8"/>
      </c>
      <c r="R24" s="12">
        <f t="shared" si="1"/>
        <v>1</v>
      </c>
      <c r="S24" s="12">
        <f t="shared" si="6"/>
      </c>
      <c r="T24" s="54">
        <f t="shared" si="7"/>
        <v>1</v>
      </c>
      <c r="U24" s="3"/>
      <c r="V24" s="3"/>
      <c r="W24" s="3"/>
    </row>
    <row r="25" spans="1:23" s="76" customFormat="1" ht="12.75">
      <c r="A25" s="66"/>
      <c r="B25" s="67"/>
      <c r="C25" s="67"/>
      <c r="D25" s="68">
        <f>SUM(D20:D24)</f>
        <v>141.93333333323244</v>
      </c>
      <c r="E25" s="69"/>
      <c r="F25" s="70"/>
      <c r="G25" s="71"/>
      <c r="H25" s="67"/>
      <c r="I25" s="67"/>
      <c r="J25" s="68">
        <f>SUM(J20:J24)</f>
        <v>2.06666666676756</v>
      </c>
      <c r="K25" s="68">
        <f>SUM(K20:K24)</f>
        <v>2.06666666676756</v>
      </c>
      <c r="L25" s="72"/>
      <c r="M25" s="73"/>
      <c r="N25" s="73"/>
      <c r="O25" s="74"/>
      <c r="P25" s="69"/>
      <c r="Q25" s="55">
        <f t="shared" si="8"/>
      </c>
      <c r="R25" s="12">
        <f t="shared" si="1"/>
      </c>
      <c r="S25" s="12">
        <f t="shared" si="6"/>
      </c>
      <c r="T25" s="54">
        <f t="shared" si="7"/>
        <v>0</v>
      </c>
      <c r="U25" s="3"/>
      <c r="V25" s="3"/>
      <c r="W25" s="3"/>
    </row>
    <row r="26" spans="1:23" s="85" customFormat="1" ht="12.75">
      <c r="A26" s="94">
        <v>15</v>
      </c>
      <c r="B26" s="86">
        <v>38882.333333333336</v>
      </c>
      <c r="C26" s="86">
        <v>38885.54652777778</v>
      </c>
      <c r="D26" s="81">
        <f>(C26-B26)*24</f>
        <v>77.1166666665813</v>
      </c>
      <c r="E26" s="87" t="s">
        <v>110</v>
      </c>
      <c r="F26" s="88">
        <v>105142</v>
      </c>
      <c r="G26" s="89"/>
      <c r="H26" s="86">
        <v>38885.54652777778</v>
      </c>
      <c r="I26" s="86">
        <v>38885.77569444444</v>
      </c>
      <c r="J26" s="81">
        <f>(I26-H26)*24</f>
        <v>5.499999999941792</v>
      </c>
      <c r="K26" s="81">
        <f>(I26-H26)*24</f>
        <v>5.499999999941792</v>
      </c>
      <c r="L26" s="90" t="s">
        <v>36</v>
      </c>
      <c r="M26" s="90" t="s">
        <v>36</v>
      </c>
      <c r="N26" s="90" t="s">
        <v>36</v>
      </c>
      <c r="O26" s="92" t="s">
        <v>26</v>
      </c>
      <c r="P26" s="87" t="s">
        <v>111</v>
      </c>
      <c r="Q26" s="82">
        <f t="shared" si="8"/>
        <v>1</v>
      </c>
      <c r="R26" s="82">
        <f t="shared" si="1"/>
      </c>
      <c r="S26" s="82">
        <f t="shared" si="6"/>
      </c>
      <c r="T26" s="83">
        <f aca="true" t="shared" si="9" ref="T26:T32">SUM(Q26:S26)</f>
        <v>1</v>
      </c>
      <c r="U26" s="84"/>
      <c r="V26" s="84"/>
      <c r="W26" s="84"/>
    </row>
    <row r="27" spans="1:23" s="76" customFormat="1" ht="12.75">
      <c r="A27" s="134">
        <v>16</v>
      </c>
      <c r="B27" s="132">
        <v>38885.77569444444</v>
      </c>
      <c r="C27" s="132">
        <v>38887.333333333336</v>
      </c>
      <c r="D27" s="75">
        <f>(C27-B27)*24</f>
        <v>37.38333333347691</v>
      </c>
      <c r="E27" s="135" t="s">
        <v>38</v>
      </c>
      <c r="F27" s="136"/>
      <c r="G27" s="137"/>
      <c r="H27" s="132"/>
      <c r="I27" s="132"/>
      <c r="J27" s="75">
        <f>(I27-H27)*24</f>
        <v>0</v>
      </c>
      <c r="K27" s="75">
        <f>(I27-H27)*24</f>
        <v>0</v>
      </c>
      <c r="L27" s="138" t="s">
        <v>24</v>
      </c>
      <c r="M27" s="138"/>
      <c r="N27" s="138"/>
      <c r="O27" s="139"/>
      <c r="P27" s="135"/>
      <c r="Q27" s="12">
        <f t="shared" si="8"/>
      </c>
      <c r="R27" s="12">
        <f t="shared" si="1"/>
        <v>1</v>
      </c>
      <c r="S27" s="12">
        <f t="shared" si="6"/>
      </c>
      <c r="T27" s="54">
        <f t="shared" si="9"/>
        <v>1</v>
      </c>
      <c r="U27" s="3"/>
      <c r="V27" s="3"/>
      <c r="W27" s="3"/>
    </row>
    <row r="28" spans="1:23" s="76" customFormat="1" ht="12.75">
      <c r="A28" s="66"/>
      <c r="B28" s="67"/>
      <c r="C28" s="67"/>
      <c r="D28" s="68">
        <f>SUM(D26:D27)</f>
        <v>114.50000000005821</v>
      </c>
      <c r="E28" s="69"/>
      <c r="F28" s="70"/>
      <c r="G28" s="71"/>
      <c r="H28" s="67"/>
      <c r="I28" s="67"/>
      <c r="J28" s="68">
        <f>SUM(J26:J27)</f>
        <v>5.499999999941792</v>
      </c>
      <c r="K28" s="68">
        <f>SUM(K26:K27)</f>
        <v>5.499999999941792</v>
      </c>
      <c r="L28" s="72"/>
      <c r="M28" s="73"/>
      <c r="N28" s="73"/>
      <c r="O28" s="74"/>
      <c r="P28" s="69"/>
      <c r="Q28" s="55">
        <f t="shared" si="8"/>
      </c>
      <c r="R28" s="12">
        <f t="shared" si="1"/>
      </c>
      <c r="S28" s="12">
        <f t="shared" si="6"/>
      </c>
      <c r="T28" s="54">
        <f t="shared" si="9"/>
        <v>0</v>
      </c>
      <c r="U28" s="3"/>
      <c r="V28" s="3"/>
      <c r="W28" s="3"/>
    </row>
    <row r="29" spans="1:23" s="76" customFormat="1" ht="12.75">
      <c r="A29" s="134">
        <v>17</v>
      </c>
      <c r="B29" s="132">
        <v>38889.333333333336</v>
      </c>
      <c r="C29" s="132">
        <v>38895.333333333336</v>
      </c>
      <c r="D29" s="75">
        <f>(C29-B29)*24</f>
        <v>144</v>
      </c>
      <c r="E29" s="135" t="s">
        <v>38</v>
      </c>
      <c r="F29" s="136"/>
      <c r="G29" s="137"/>
      <c r="H29" s="132"/>
      <c r="I29" s="132"/>
      <c r="J29" s="75">
        <f>(I29-H29)*24</f>
        <v>0</v>
      </c>
      <c r="K29" s="75">
        <f>(I29-H29)*24</f>
        <v>0</v>
      </c>
      <c r="L29" s="138" t="s">
        <v>24</v>
      </c>
      <c r="M29" s="138"/>
      <c r="N29" s="138"/>
      <c r="O29" s="139"/>
      <c r="P29" s="135"/>
      <c r="Q29" s="12">
        <f t="shared" si="8"/>
      </c>
      <c r="R29" s="12">
        <f t="shared" si="1"/>
        <v>1</v>
      </c>
      <c r="S29" s="12">
        <f t="shared" si="6"/>
      </c>
      <c r="T29" s="54">
        <f t="shared" si="9"/>
        <v>1</v>
      </c>
      <c r="U29" s="3"/>
      <c r="V29" s="3"/>
      <c r="W29" s="3"/>
    </row>
    <row r="30" spans="1:23" s="76" customFormat="1" ht="12.75">
      <c r="A30" s="66"/>
      <c r="B30" s="67"/>
      <c r="C30" s="67"/>
      <c r="D30" s="68">
        <f>SUM(D29:D29)</f>
        <v>144</v>
      </c>
      <c r="E30" s="69"/>
      <c r="F30" s="70"/>
      <c r="G30" s="71"/>
      <c r="H30" s="67"/>
      <c r="I30" s="67"/>
      <c r="J30" s="68">
        <f>SUM(J29:J29)</f>
        <v>0</v>
      </c>
      <c r="K30" s="68">
        <f>SUM(K29:K29)</f>
        <v>0</v>
      </c>
      <c r="L30" s="72"/>
      <c r="M30" s="73"/>
      <c r="N30" s="73"/>
      <c r="O30" s="74"/>
      <c r="P30" s="69"/>
      <c r="Q30" s="55">
        <f t="shared" si="8"/>
      </c>
      <c r="R30" s="12">
        <f t="shared" si="1"/>
      </c>
      <c r="S30" s="12">
        <f t="shared" si="6"/>
      </c>
      <c r="T30" s="54">
        <f t="shared" si="9"/>
        <v>0</v>
      </c>
      <c r="U30" s="3"/>
      <c r="V30" s="3"/>
      <c r="W30" s="3"/>
    </row>
    <row r="31" spans="1:23" s="76" customFormat="1" ht="12.75">
      <c r="A31" s="134">
        <v>18</v>
      </c>
      <c r="B31" s="132">
        <v>38896.333333333336</v>
      </c>
      <c r="C31" s="132">
        <v>38902.333333333336</v>
      </c>
      <c r="D31" s="75">
        <f>(C31-B31)*24</f>
        <v>144</v>
      </c>
      <c r="E31" s="135" t="s">
        <v>38</v>
      </c>
      <c r="F31" s="136"/>
      <c r="G31" s="137"/>
      <c r="H31" s="132"/>
      <c r="I31" s="132"/>
      <c r="J31" s="75">
        <f>(I31-H31)*24</f>
        <v>0</v>
      </c>
      <c r="K31" s="75">
        <f>(I31-H31)*24</f>
        <v>0</v>
      </c>
      <c r="L31" s="138" t="s">
        <v>24</v>
      </c>
      <c r="M31" s="138"/>
      <c r="N31" s="138"/>
      <c r="O31" s="139"/>
      <c r="P31" s="135"/>
      <c r="Q31" s="12">
        <f t="shared" si="8"/>
      </c>
      <c r="R31" s="12">
        <f t="shared" si="1"/>
        <v>1</v>
      </c>
      <c r="S31" s="12">
        <f t="shared" si="6"/>
      </c>
      <c r="T31" s="54">
        <f t="shared" si="9"/>
        <v>1</v>
      </c>
      <c r="U31" s="3"/>
      <c r="V31" s="3"/>
      <c r="W31" s="3"/>
    </row>
    <row r="32" spans="1:23" s="76" customFormat="1" ht="12.75">
      <c r="A32" s="66"/>
      <c r="B32" s="67"/>
      <c r="C32" s="67"/>
      <c r="D32" s="68">
        <f>SUM(D31:D31)</f>
        <v>144</v>
      </c>
      <c r="E32" s="69"/>
      <c r="F32" s="70"/>
      <c r="G32" s="71"/>
      <c r="H32" s="67"/>
      <c r="I32" s="67"/>
      <c r="J32" s="68">
        <f>SUM(J31:J31)</f>
        <v>0</v>
      </c>
      <c r="K32" s="68">
        <f>SUM(K31:K31)</f>
        <v>0</v>
      </c>
      <c r="L32" s="72"/>
      <c r="M32" s="73"/>
      <c r="N32" s="73"/>
      <c r="O32" s="74"/>
      <c r="P32" s="69"/>
      <c r="Q32" s="55">
        <f t="shared" si="8"/>
      </c>
      <c r="R32" s="12">
        <f t="shared" si="1"/>
      </c>
      <c r="S32" s="12">
        <f t="shared" si="6"/>
      </c>
      <c r="T32" s="54">
        <f t="shared" si="9"/>
        <v>0</v>
      </c>
      <c r="U32" s="3"/>
      <c r="V32" s="3"/>
      <c r="W32" s="3"/>
    </row>
    <row r="33" spans="1:23" s="85" customFormat="1" ht="12.75">
      <c r="A33" s="94">
        <v>19</v>
      </c>
      <c r="B33" s="86">
        <v>38903.333333333336</v>
      </c>
      <c r="C33" s="86">
        <v>38903.69930555556</v>
      </c>
      <c r="D33" s="81">
        <f>(C33-B33)*24</f>
        <v>8.783333333325572</v>
      </c>
      <c r="E33" s="87" t="s">
        <v>112</v>
      </c>
      <c r="F33" s="88">
        <v>105145</v>
      </c>
      <c r="G33" s="89"/>
      <c r="H33" s="86">
        <v>38903.69930555556</v>
      </c>
      <c r="I33" s="86">
        <v>38903.711805555555</v>
      </c>
      <c r="J33" s="81">
        <f>(I33-H33)*24</f>
        <v>0.2999999999301508</v>
      </c>
      <c r="K33" s="81">
        <f>(I33-H33)*24</f>
        <v>0.2999999999301508</v>
      </c>
      <c r="L33" s="90" t="s">
        <v>93</v>
      </c>
      <c r="M33" s="90" t="s">
        <v>93</v>
      </c>
      <c r="N33" s="90" t="s">
        <v>93</v>
      </c>
      <c r="O33" s="92" t="s">
        <v>26</v>
      </c>
      <c r="P33" s="87"/>
      <c r="Q33" s="82">
        <f t="shared" si="8"/>
        <v>1</v>
      </c>
      <c r="R33" s="82">
        <f t="shared" si="1"/>
      </c>
      <c r="S33" s="82">
        <f t="shared" si="6"/>
      </c>
      <c r="T33" s="83">
        <f>SUM(Q33:S33)</f>
        <v>1</v>
      </c>
      <c r="U33" s="84"/>
      <c r="V33" s="84"/>
      <c r="W33" s="84"/>
    </row>
    <row r="34" spans="1:23" s="76" customFormat="1" ht="12.75">
      <c r="A34" s="134">
        <v>20</v>
      </c>
      <c r="B34" s="132">
        <v>38903.711805555555</v>
      </c>
      <c r="C34" s="132">
        <v>38908.333333333336</v>
      </c>
      <c r="D34" s="75">
        <f>(C34-B34)*24</f>
        <v>110.91666666674428</v>
      </c>
      <c r="E34" s="135" t="s">
        <v>38</v>
      </c>
      <c r="F34" s="136"/>
      <c r="G34" s="137"/>
      <c r="H34" s="132"/>
      <c r="I34" s="132"/>
      <c r="J34" s="75">
        <f>(I34-H34)*24</f>
        <v>0</v>
      </c>
      <c r="K34" s="75">
        <f>(I34-H34)*24</f>
        <v>0</v>
      </c>
      <c r="L34" s="138" t="s">
        <v>24</v>
      </c>
      <c r="M34" s="138"/>
      <c r="N34" s="138"/>
      <c r="O34" s="139"/>
      <c r="P34" s="135"/>
      <c r="Q34" s="12">
        <f t="shared" si="8"/>
      </c>
      <c r="R34" s="12">
        <f t="shared" si="1"/>
        <v>1</v>
      </c>
      <c r="S34" s="12">
        <f t="shared" si="6"/>
      </c>
      <c r="T34" s="54">
        <f>SUM(Q34:S34)</f>
        <v>1</v>
      </c>
      <c r="U34" s="3"/>
      <c r="V34" s="3"/>
      <c r="W34" s="3"/>
    </row>
    <row r="35" spans="1:23" s="76" customFormat="1" ht="12.75">
      <c r="A35" s="66"/>
      <c r="B35" s="67"/>
      <c r="C35" s="67"/>
      <c r="D35" s="68">
        <f>SUM(D33:D34)</f>
        <v>119.70000000006985</v>
      </c>
      <c r="E35" s="69"/>
      <c r="F35" s="70"/>
      <c r="G35" s="71"/>
      <c r="H35" s="67"/>
      <c r="I35" s="67"/>
      <c r="J35" s="68">
        <f>SUM(J33:J34)</f>
        <v>0.2999999999301508</v>
      </c>
      <c r="K35" s="68">
        <f>SUM(K33:K34)</f>
        <v>0.2999999999301508</v>
      </c>
      <c r="L35" s="72"/>
      <c r="M35" s="73"/>
      <c r="N35" s="73"/>
      <c r="O35" s="74"/>
      <c r="P35" s="69"/>
      <c r="Q35" s="55">
        <f t="shared" si="8"/>
      </c>
      <c r="R35" s="12">
        <f t="shared" si="1"/>
      </c>
      <c r="S35" s="12">
        <f t="shared" si="6"/>
      </c>
      <c r="T35" s="54">
        <f>SUM(Q35:S35)</f>
        <v>0</v>
      </c>
      <c r="U35" s="3"/>
      <c r="V35" s="3"/>
      <c r="W35" s="3"/>
    </row>
    <row r="36" spans="1:23" s="76" customFormat="1" ht="12.75">
      <c r="A36" s="134">
        <v>21</v>
      </c>
      <c r="B36" s="132">
        <v>38910.333333333336</v>
      </c>
      <c r="C36" s="132">
        <v>38911.34375</v>
      </c>
      <c r="D36" s="75">
        <f>(C36-B36)*24</f>
        <v>24.249999999941792</v>
      </c>
      <c r="E36" s="76" t="s">
        <v>114</v>
      </c>
      <c r="F36" s="136">
        <v>105147</v>
      </c>
      <c r="G36" s="137"/>
      <c r="H36" s="132">
        <v>38911.34375</v>
      </c>
      <c r="I36" s="132">
        <v>38911.395833333336</v>
      </c>
      <c r="J36" s="75">
        <f>(I36-H36)*24</f>
        <v>1.2500000000582077</v>
      </c>
      <c r="K36" s="75">
        <f>(I36-H36)*24</f>
        <v>1.2500000000582077</v>
      </c>
      <c r="L36" s="138" t="s">
        <v>113</v>
      </c>
      <c r="M36" s="138" t="s">
        <v>113</v>
      </c>
      <c r="N36" s="138" t="s">
        <v>102</v>
      </c>
      <c r="O36" s="139" t="s">
        <v>26</v>
      </c>
      <c r="P36" s="135" t="s">
        <v>119</v>
      </c>
      <c r="Q36" s="12">
        <f t="shared" si="8"/>
        <v>1</v>
      </c>
      <c r="R36" s="12">
        <f t="shared" si="1"/>
      </c>
      <c r="S36" s="12">
        <f t="shared" si="6"/>
      </c>
      <c r="T36" s="54">
        <f aca="true" t="shared" si="10" ref="T36:T42">SUM(Q36:S36)</f>
        <v>1</v>
      </c>
      <c r="U36" s="3"/>
      <c r="V36" s="3"/>
      <c r="W36" s="3"/>
    </row>
    <row r="37" spans="1:23" s="85" customFormat="1" ht="12.75">
      <c r="A37" s="94">
        <v>22</v>
      </c>
      <c r="B37" s="86">
        <v>38911.395833333336</v>
      </c>
      <c r="C37" s="86">
        <v>38911.458333333336</v>
      </c>
      <c r="D37" s="81">
        <f>(C37-B37)*24</f>
        <v>1.5</v>
      </c>
      <c r="E37" s="87"/>
      <c r="F37" s="88">
        <v>105148</v>
      </c>
      <c r="G37" s="89"/>
      <c r="H37" s="86">
        <v>38911.458333333336</v>
      </c>
      <c r="I37" s="86">
        <v>38911.55</v>
      </c>
      <c r="J37" s="81"/>
      <c r="K37" s="81"/>
      <c r="L37" s="90"/>
      <c r="M37" s="90"/>
      <c r="N37" s="90"/>
      <c r="O37" s="92"/>
      <c r="P37" s="87"/>
      <c r="Q37" s="12">
        <f t="shared" si="8"/>
      </c>
      <c r="R37" s="82">
        <f t="shared" si="1"/>
      </c>
      <c r="S37" s="82">
        <f t="shared" si="6"/>
      </c>
      <c r="T37" s="83">
        <f t="shared" si="10"/>
        <v>0</v>
      </c>
      <c r="U37" s="84"/>
      <c r="V37" s="84"/>
      <c r="W37" s="84"/>
    </row>
    <row r="38" spans="1:23" s="76" customFormat="1" ht="12.75">
      <c r="A38" s="134"/>
      <c r="B38" s="132"/>
      <c r="C38" s="132"/>
      <c r="D38" s="75"/>
      <c r="E38" s="135" t="s">
        <v>115</v>
      </c>
      <c r="F38" s="136"/>
      <c r="G38" s="137"/>
      <c r="H38" s="141">
        <v>38911.458333333336</v>
      </c>
      <c r="I38" s="141">
        <v>38911.524305555555</v>
      </c>
      <c r="J38" s="142">
        <f>(I38-H38)*24</f>
        <v>1.5833333332557231</v>
      </c>
      <c r="K38" s="142">
        <f>(I38-H38)*24</f>
        <v>1.5833333332557231</v>
      </c>
      <c r="L38" s="143" t="s">
        <v>102</v>
      </c>
      <c r="M38" s="143" t="s">
        <v>102</v>
      </c>
      <c r="N38" s="143" t="s">
        <v>102</v>
      </c>
      <c r="O38" s="145" t="s">
        <v>26</v>
      </c>
      <c r="P38" s="146" t="s">
        <v>117</v>
      </c>
      <c r="Q38" s="12">
        <f t="shared" si="8"/>
        <v>1</v>
      </c>
      <c r="R38" s="12"/>
      <c r="S38" s="12"/>
      <c r="T38" s="54"/>
      <c r="U38" s="3"/>
      <c r="V38" s="3"/>
      <c r="W38" s="3"/>
    </row>
    <row r="39" spans="1:23" s="76" customFormat="1" ht="12.75">
      <c r="A39" s="134"/>
      <c r="B39" s="132"/>
      <c r="C39" s="132"/>
      <c r="D39" s="75"/>
      <c r="E39" s="135"/>
      <c r="F39" s="136"/>
      <c r="G39" s="137"/>
      <c r="H39" s="147">
        <v>38911.524305555555</v>
      </c>
      <c r="I39" s="147">
        <v>38911.55</v>
      </c>
      <c r="J39" s="148">
        <f>(I39-H39)*24</f>
        <v>0.6166666667559184</v>
      </c>
      <c r="K39" s="148">
        <f>(I39-H39)*24</f>
        <v>0.6166666667559184</v>
      </c>
      <c r="L39" s="149" t="s">
        <v>116</v>
      </c>
      <c r="M39" s="149" t="s">
        <v>116</v>
      </c>
      <c r="N39" s="149" t="s">
        <v>116</v>
      </c>
      <c r="O39" s="151" t="s">
        <v>94</v>
      </c>
      <c r="P39" s="152" t="s">
        <v>118</v>
      </c>
      <c r="Q39" s="12">
        <f t="shared" si="8"/>
      </c>
      <c r="R39" s="12"/>
      <c r="S39" s="12"/>
      <c r="T39" s="54"/>
      <c r="U39" s="3"/>
      <c r="V39" s="3"/>
      <c r="W39" s="3"/>
    </row>
    <row r="40" spans="1:23" s="76" customFormat="1" ht="12.75">
      <c r="A40" s="134">
        <v>23</v>
      </c>
      <c r="B40" s="132">
        <v>38911.55</v>
      </c>
      <c r="C40" s="132">
        <v>38916.333333333336</v>
      </c>
      <c r="D40" s="75">
        <f>(C40-B40)*24</f>
        <v>114.79999999998836</v>
      </c>
      <c r="E40" s="135" t="s">
        <v>38</v>
      </c>
      <c r="F40" s="136"/>
      <c r="G40" s="137"/>
      <c r="H40" s="132"/>
      <c r="I40" s="132"/>
      <c r="J40" s="75">
        <f>(I40-H40)*24</f>
        <v>0</v>
      </c>
      <c r="K40" s="75">
        <f>(I40-H40)*24</f>
        <v>0</v>
      </c>
      <c r="L40" s="138" t="s">
        <v>24</v>
      </c>
      <c r="M40" s="138"/>
      <c r="N40" s="138"/>
      <c r="O40" s="139"/>
      <c r="P40" s="135"/>
      <c r="Q40" s="12">
        <f t="shared" si="8"/>
      </c>
      <c r="R40" s="12">
        <f t="shared" si="1"/>
        <v>1</v>
      </c>
      <c r="S40" s="12">
        <f aca="true" t="shared" si="11" ref="S40:S58">IF($O40="Inhibits beam to user",1,"")</f>
      </c>
      <c r="T40" s="54">
        <f t="shared" si="10"/>
        <v>1</v>
      </c>
      <c r="U40" s="3"/>
      <c r="V40" s="3"/>
      <c r="W40" s="3"/>
    </row>
    <row r="41" spans="1:23" s="76" customFormat="1" ht="12.75">
      <c r="A41" s="66"/>
      <c r="B41" s="67"/>
      <c r="C41" s="67"/>
      <c r="D41" s="68">
        <f>SUM(D36:D40)</f>
        <v>140.54999999993015</v>
      </c>
      <c r="E41" s="69"/>
      <c r="F41" s="70"/>
      <c r="G41" s="71"/>
      <c r="H41" s="67"/>
      <c r="I41" s="67"/>
      <c r="J41" s="68">
        <f>SUM(J36:J40)</f>
        <v>3.450000000069849</v>
      </c>
      <c r="K41" s="68">
        <f>SUM(K36:K40)</f>
        <v>3.450000000069849</v>
      </c>
      <c r="L41" s="72"/>
      <c r="M41" s="73"/>
      <c r="N41" s="73"/>
      <c r="O41" s="74"/>
      <c r="P41" s="69"/>
      <c r="Q41" s="55">
        <f t="shared" si="8"/>
      </c>
      <c r="R41" s="12">
        <f t="shared" si="1"/>
      </c>
      <c r="S41" s="12">
        <f t="shared" si="11"/>
      </c>
      <c r="T41" s="54">
        <f t="shared" si="10"/>
        <v>0</v>
      </c>
      <c r="U41" s="3"/>
      <c r="V41" s="3"/>
      <c r="W41" s="3"/>
    </row>
    <row r="42" spans="1:23" s="76" customFormat="1" ht="12.75">
      <c r="A42" s="134">
        <v>24</v>
      </c>
      <c r="B42" s="132">
        <v>38917.333333333336</v>
      </c>
      <c r="C42" s="132">
        <v>38918.254166666666</v>
      </c>
      <c r="D42" s="75">
        <f>(C42-B42)*24</f>
        <v>22.09999999991851</v>
      </c>
      <c r="E42" s="135" t="s">
        <v>120</v>
      </c>
      <c r="F42" s="136">
        <v>105151</v>
      </c>
      <c r="G42" s="137"/>
      <c r="H42" s="132">
        <v>38918.254166666666</v>
      </c>
      <c r="I42" s="132">
        <v>38918.282638888886</v>
      </c>
      <c r="J42" s="75">
        <f>(I42-H42)*24</f>
        <v>0.6833333332906477</v>
      </c>
      <c r="K42" s="75">
        <f>(I42-H42)*24</f>
        <v>0.6833333332906477</v>
      </c>
      <c r="L42" s="138" t="s">
        <v>40</v>
      </c>
      <c r="M42" s="140" t="s">
        <v>40</v>
      </c>
      <c r="N42" s="140" t="s">
        <v>40</v>
      </c>
      <c r="O42" s="139" t="s">
        <v>26</v>
      </c>
      <c r="P42" s="135" t="s">
        <v>122</v>
      </c>
      <c r="Q42" s="12">
        <f>IF($O42="Store Lost",1,"")</f>
        <v>1</v>
      </c>
      <c r="R42" s="12">
        <f t="shared" si="1"/>
      </c>
      <c r="S42" s="12">
        <f t="shared" si="11"/>
      </c>
      <c r="T42" s="54">
        <f t="shared" si="10"/>
        <v>1</v>
      </c>
      <c r="U42" s="3"/>
      <c r="V42" s="3"/>
      <c r="W42" s="3"/>
    </row>
    <row r="43" spans="1:23" s="85" customFormat="1" ht="12.75">
      <c r="A43" s="94">
        <v>25</v>
      </c>
      <c r="B43" s="86">
        <v>38918.282638888886</v>
      </c>
      <c r="C43" s="86">
        <v>38918.506944444445</v>
      </c>
      <c r="D43" s="81">
        <f>(C43-B43)*24</f>
        <v>5.383333333418705</v>
      </c>
      <c r="E43" s="87" t="s">
        <v>121</v>
      </c>
      <c r="F43" s="88">
        <v>105152</v>
      </c>
      <c r="G43" s="89"/>
      <c r="H43" s="86">
        <v>38918.506944444445</v>
      </c>
      <c r="I43" s="86">
        <v>38918.52222222222</v>
      </c>
      <c r="J43" s="81">
        <f>(I43-H43)*24</f>
        <v>0.3666666666395031</v>
      </c>
      <c r="K43" s="81">
        <f>(I43-H43)*24</f>
        <v>0.3666666666395031</v>
      </c>
      <c r="L43" s="90" t="s">
        <v>39</v>
      </c>
      <c r="M43" s="90" t="s">
        <v>39</v>
      </c>
      <c r="N43" s="90" t="s">
        <v>39</v>
      </c>
      <c r="O43" s="92" t="s">
        <v>26</v>
      </c>
      <c r="P43" s="87"/>
      <c r="Q43" s="82">
        <f t="shared" si="8"/>
        <v>1</v>
      </c>
      <c r="R43" s="82">
        <f t="shared" si="1"/>
      </c>
      <c r="S43" s="82">
        <f t="shared" si="11"/>
      </c>
      <c r="T43" s="83">
        <f aca="true" t="shared" si="12" ref="T43:T52">SUM(Q43:S43)</f>
        <v>1</v>
      </c>
      <c r="U43" s="84"/>
      <c r="V43" s="84"/>
      <c r="W43" s="84"/>
    </row>
    <row r="44" spans="1:23" s="76" customFormat="1" ht="12.75">
      <c r="A44" s="134">
        <v>26</v>
      </c>
      <c r="B44" s="132">
        <v>38918.52222222222</v>
      </c>
      <c r="C44" s="132">
        <v>38923.333333333336</v>
      </c>
      <c r="D44" s="75">
        <f>(C44-B44)*24</f>
        <v>115.46666666673264</v>
      </c>
      <c r="E44" s="135" t="s">
        <v>38</v>
      </c>
      <c r="F44" s="136"/>
      <c r="G44" s="137"/>
      <c r="H44" s="132"/>
      <c r="I44" s="132"/>
      <c r="J44" s="75">
        <f>(I44-H44)*24</f>
        <v>0</v>
      </c>
      <c r="K44" s="75">
        <f>(I44-H44)*24</f>
        <v>0</v>
      </c>
      <c r="L44" s="138" t="s">
        <v>24</v>
      </c>
      <c r="M44" s="138"/>
      <c r="N44" s="138"/>
      <c r="O44" s="139"/>
      <c r="P44" s="135"/>
      <c r="Q44" s="12">
        <f t="shared" si="8"/>
      </c>
      <c r="R44" s="12">
        <f t="shared" si="1"/>
        <v>1</v>
      </c>
      <c r="S44" s="12">
        <f t="shared" si="11"/>
      </c>
      <c r="T44" s="54">
        <f t="shared" si="12"/>
        <v>1</v>
      </c>
      <c r="U44" s="3"/>
      <c r="V44" s="3"/>
      <c r="W44" s="3"/>
    </row>
    <row r="45" spans="1:23" s="76" customFormat="1" ht="12.75">
      <c r="A45" s="66"/>
      <c r="B45" s="67"/>
      <c r="C45" s="67"/>
      <c r="D45" s="68">
        <f>SUM(D42:D44)</f>
        <v>142.95000000006985</v>
      </c>
      <c r="E45" s="69"/>
      <c r="F45" s="70"/>
      <c r="G45" s="71"/>
      <c r="H45" s="67"/>
      <c r="I45" s="67"/>
      <c r="J45" s="68">
        <f>SUM(J42:J44)</f>
        <v>1.0499999999301508</v>
      </c>
      <c r="K45" s="68">
        <f>SUM(K42:K44)</f>
        <v>1.0499999999301508</v>
      </c>
      <c r="L45" s="72"/>
      <c r="M45" s="73"/>
      <c r="N45" s="73"/>
      <c r="O45" s="74"/>
      <c r="P45" s="69"/>
      <c r="Q45" s="55">
        <f t="shared" si="8"/>
      </c>
      <c r="R45" s="12">
        <f t="shared" si="1"/>
      </c>
      <c r="S45" s="12">
        <f t="shared" si="11"/>
      </c>
      <c r="T45" s="54">
        <f t="shared" si="12"/>
        <v>0</v>
      </c>
      <c r="U45" s="3"/>
      <c r="V45" s="3"/>
      <c r="W45" s="3"/>
    </row>
    <row r="46" spans="1:23" s="76" customFormat="1" ht="12.75">
      <c r="A46" s="134">
        <v>27</v>
      </c>
      <c r="B46" s="132">
        <v>38924.333333333336</v>
      </c>
      <c r="C46" s="132">
        <v>38924.44583333333</v>
      </c>
      <c r="D46" s="75">
        <f>(C46-B46)*24</f>
        <v>2.699999999895226</v>
      </c>
      <c r="E46" s="135" t="s">
        <v>123</v>
      </c>
      <c r="F46" s="136">
        <v>105154</v>
      </c>
      <c r="G46" s="137"/>
      <c r="H46" s="132">
        <v>38924.44583333333</v>
      </c>
      <c r="I46" s="132">
        <v>38924.49097222222</v>
      </c>
      <c r="J46" s="75">
        <f>(I46-H46)*24</f>
        <v>1.0833333333721384</v>
      </c>
      <c r="K46" s="75">
        <f>(I46-H46)*24</f>
        <v>1.0833333333721384</v>
      </c>
      <c r="L46" s="138" t="s">
        <v>93</v>
      </c>
      <c r="M46" s="140" t="s">
        <v>93</v>
      </c>
      <c r="N46" s="140" t="s">
        <v>93</v>
      </c>
      <c r="O46" s="139" t="s">
        <v>26</v>
      </c>
      <c r="P46" s="135"/>
      <c r="Q46" s="12">
        <f>IF($O46="Store Lost",1,"")</f>
        <v>1</v>
      </c>
      <c r="R46" s="12">
        <f t="shared" si="1"/>
      </c>
      <c r="S46" s="12">
        <f t="shared" si="11"/>
      </c>
      <c r="T46" s="54">
        <f t="shared" si="12"/>
        <v>1</v>
      </c>
      <c r="U46" s="3"/>
      <c r="V46" s="3"/>
      <c r="W46" s="3"/>
    </row>
    <row r="47" spans="1:23" s="85" customFormat="1" ht="12.75">
      <c r="A47" s="94">
        <v>28</v>
      </c>
      <c r="B47" s="86">
        <v>38924.49097222222</v>
      </c>
      <c r="C47" s="86">
        <v>38926.998611111114</v>
      </c>
      <c r="D47" s="81">
        <f>(C47-B47)*24</f>
        <v>60.18333333340706</v>
      </c>
      <c r="E47" s="87" t="s">
        <v>124</v>
      </c>
      <c r="F47" s="88">
        <v>105155</v>
      </c>
      <c r="G47" s="89"/>
      <c r="H47" s="86">
        <v>38926.998611111114</v>
      </c>
      <c r="I47" s="86">
        <v>38927.024305555555</v>
      </c>
      <c r="J47" s="81">
        <f>(I47-H47)*24</f>
        <v>0.6166666665812954</v>
      </c>
      <c r="K47" s="81">
        <f>(I47-H47)*24</f>
        <v>0.6166666665812954</v>
      </c>
      <c r="L47" s="90" t="s">
        <v>39</v>
      </c>
      <c r="M47" s="90" t="s">
        <v>39</v>
      </c>
      <c r="N47" s="90" t="s">
        <v>39</v>
      </c>
      <c r="O47" s="92" t="s">
        <v>26</v>
      </c>
      <c r="P47" s="87"/>
      <c r="Q47" s="82">
        <f t="shared" si="8"/>
        <v>1</v>
      </c>
      <c r="R47" s="82">
        <f t="shared" si="1"/>
      </c>
      <c r="S47" s="82">
        <f t="shared" si="11"/>
      </c>
      <c r="T47" s="83">
        <f t="shared" si="12"/>
        <v>1</v>
      </c>
      <c r="U47" s="84"/>
      <c r="V47" s="84"/>
      <c r="W47" s="84"/>
    </row>
    <row r="48" spans="1:23" s="76" customFormat="1" ht="12.75">
      <c r="A48" s="134">
        <v>29</v>
      </c>
      <c r="B48" s="132">
        <v>38927.024305555555</v>
      </c>
      <c r="C48" s="132">
        <v>38929.333333333336</v>
      </c>
      <c r="D48" s="75">
        <f>(C48-B48)*24</f>
        <v>55.41666666674428</v>
      </c>
      <c r="E48" s="135" t="s">
        <v>38</v>
      </c>
      <c r="F48" s="136"/>
      <c r="G48" s="137"/>
      <c r="H48" s="132"/>
      <c r="I48" s="132"/>
      <c r="J48" s="75">
        <f>(I48-H48)*24</f>
        <v>0</v>
      </c>
      <c r="K48" s="75">
        <f>(I48-H48)*24</f>
        <v>0</v>
      </c>
      <c r="L48" s="138" t="s">
        <v>24</v>
      </c>
      <c r="M48" s="138"/>
      <c r="N48" s="138"/>
      <c r="O48" s="139"/>
      <c r="P48" s="135"/>
      <c r="Q48" s="12">
        <f t="shared" si="8"/>
      </c>
      <c r="R48" s="12">
        <f t="shared" si="1"/>
        <v>1</v>
      </c>
      <c r="S48" s="12">
        <f t="shared" si="11"/>
      </c>
      <c r="T48" s="54">
        <f t="shared" si="12"/>
        <v>1</v>
      </c>
      <c r="U48" s="3"/>
      <c r="V48" s="3"/>
      <c r="W48" s="3"/>
    </row>
    <row r="49" spans="1:23" s="76" customFormat="1" ht="12.75">
      <c r="A49" s="66"/>
      <c r="B49" s="67"/>
      <c r="C49" s="67"/>
      <c r="D49" s="68">
        <f>SUM(D46:D48)</f>
        <v>118.30000000004657</v>
      </c>
      <c r="E49" s="69"/>
      <c r="F49" s="70"/>
      <c r="G49" s="71"/>
      <c r="H49" s="67"/>
      <c r="I49" s="67"/>
      <c r="J49" s="68">
        <f>SUM(J46:J48)</f>
        <v>1.6999999999534339</v>
      </c>
      <c r="K49" s="68">
        <f>SUM(K46:K48)</f>
        <v>1.6999999999534339</v>
      </c>
      <c r="L49" s="72"/>
      <c r="M49" s="73"/>
      <c r="N49" s="73"/>
      <c r="O49" s="74"/>
      <c r="P49" s="69"/>
      <c r="Q49" s="55">
        <f t="shared" si="8"/>
      </c>
      <c r="R49" s="12">
        <f t="shared" si="1"/>
      </c>
      <c r="S49" s="12">
        <f t="shared" si="11"/>
      </c>
      <c r="T49" s="54">
        <f t="shared" si="12"/>
        <v>0</v>
      </c>
      <c r="U49" s="3"/>
      <c r="V49" s="3"/>
      <c r="W49" s="3"/>
    </row>
    <row r="50" spans="1:23" s="85" customFormat="1" ht="12.75">
      <c r="A50" s="94">
        <v>30</v>
      </c>
      <c r="B50" s="86">
        <v>38931.333333333336</v>
      </c>
      <c r="C50" s="86">
        <v>38934.399305555555</v>
      </c>
      <c r="D50" s="81">
        <f>(C50-B50)*24</f>
        <v>73.58333333325572</v>
      </c>
      <c r="E50" s="87" t="s">
        <v>125</v>
      </c>
      <c r="F50" s="88">
        <v>105158</v>
      </c>
      <c r="G50" s="89"/>
      <c r="H50" s="86">
        <v>38934.399305555555</v>
      </c>
      <c r="I50" s="86">
        <v>38934.416666666664</v>
      </c>
      <c r="J50" s="81">
        <f>(I50-H50)*24</f>
        <v>0.41666666662786156</v>
      </c>
      <c r="K50" s="81">
        <f>(I50-H50)*24</f>
        <v>0.41666666662786156</v>
      </c>
      <c r="L50" s="90" t="s">
        <v>39</v>
      </c>
      <c r="M50" s="90" t="s">
        <v>39</v>
      </c>
      <c r="N50" s="90" t="s">
        <v>39</v>
      </c>
      <c r="O50" s="92" t="s">
        <v>26</v>
      </c>
      <c r="P50" s="87"/>
      <c r="Q50" s="82">
        <f t="shared" si="8"/>
        <v>1</v>
      </c>
      <c r="R50" s="82">
        <f t="shared" si="1"/>
      </c>
      <c r="S50" s="82">
        <f t="shared" si="11"/>
      </c>
      <c r="T50" s="83">
        <f t="shared" si="12"/>
        <v>1</v>
      </c>
      <c r="U50" s="84"/>
      <c r="V50" s="84"/>
      <c r="W50" s="84"/>
    </row>
    <row r="51" spans="1:23" s="76" customFormat="1" ht="12.75">
      <c r="A51" s="134">
        <v>31</v>
      </c>
      <c r="B51" s="132">
        <v>38934.416666666664</v>
      </c>
      <c r="C51" s="132">
        <v>38937.333333333336</v>
      </c>
      <c r="D51" s="75">
        <f>(C51-B51)*24</f>
        <v>70.00000000011642</v>
      </c>
      <c r="E51" s="135" t="s">
        <v>38</v>
      </c>
      <c r="F51" s="136"/>
      <c r="G51" s="137"/>
      <c r="H51" s="132"/>
      <c r="I51" s="132"/>
      <c r="J51" s="75">
        <f>(I51-H51)*24</f>
        <v>0</v>
      </c>
      <c r="K51" s="75">
        <f>(I51-H51)*24</f>
        <v>0</v>
      </c>
      <c r="L51" s="138" t="s">
        <v>24</v>
      </c>
      <c r="M51" s="138"/>
      <c r="N51" s="138"/>
      <c r="O51" s="139"/>
      <c r="P51" s="135"/>
      <c r="Q51" s="12">
        <f t="shared" si="8"/>
      </c>
      <c r="R51" s="12">
        <f t="shared" si="1"/>
        <v>1</v>
      </c>
      <c r="S51" s="12">
        <f t="shared" si="11"/>
      </c>
      <c r="T51" s="54">
        <f t="shared" si="12"/>
        <v>1</v>
      </c>
      <c r="U51" s="3"/>
      <c r="V51" s="3"/>
      <c r="W51" s="3"/>
    </row>
    <row r="52" spans="1:23" s="76" customFormat="1" ht="12.75">
      <c r="A52" s="66"/>
      <c r="B52" s="67"/>
      <c r="C52" s="67"/>
      <c r="D52" s="68">
        <f>SUM(D50:D51)</f>
        <v>143.58333333337214</v>
      </c>
      <c r="E52" s="69"/>
      <c r="F52" s="70"/>
      <c r="G52" s="71"/>
      <c r="H52" s="67"/>
      <c r="I52" s="67"/>
      <c r="J52" s="68">
        <f>SUM(J50:J51)</f>
        <v>0.41666666662786156</v>
      </c>
      <c r="K52" s="68">
        <f>SUM(K50:K51)</f>
        <v>0.41666666662786156</v>
      </c>
      <c r="L52" s="72"/>
      <c r="M52" s="73"/>
      <c r="N52" s="73"/>
      <c r="O52" s="74"/>
      <c r="P52" s="69"/>
      <c r="Q52" s="55">
        <f t="shared" si="8"/>
      </c>
      <c r="R52" s="12">
        <f t="shared" si="1"/>
      </c>
      <c r="S52" s="12">
        <f t="shared" si="11"/>
      </c>
      <c r="T52" s="54">
        <f t="shared" si="12"/>
        <v>0</v>
      </c>
      <c r="U52" s="3"/>
      <c r="V52" s="3"/>
      <c r="W52" s="3"/>
    </row>
    <row r="53" spans="1:23" s="85" customFormat="1" ht="12.75">
      <c r="A53" s="94">
        <v>32</v>
      </c>
      <c r="B53" s="86">
        <v>38938.333333333336</v>
      </c>
      <c r="C53" s="86">
        <v>38941.84166666667</v>
      </c>
      <c r="D53" s="81">
        <f>(C53-B53)*24</f>
        <v>84.19999999995343</v>
      </c>
      <c r="E53" s="87" t="s">
        <v>126</v>
      </c>
      <c r="F53" s="88">
        <v>105161</v>
      </c>
      <c r="G53" s="89"/>
      <c r="H53" s="86">
        <v>38941.84166666667</v>
      </c>
      <c r="I53" s="86">
        <v>38942.875</v>
      </c>
      <c r="J53" s="81">
        <f>(I53-H53)*24</f>
        <v>24.79999999998836</v>
      </c>
      <c r="K53" s="81"/>
      <c r="L53" s="90"/>
      <c r="M53" s="90"/>
      <c r="N53" s="90"/>
      <c r="O53" s="92" t="s">
        <v>94</v>
      </c>
      <c r="P53" s="87" t="s">
        <v>127</v>
      </c>
      <c r="R53" s="82">
        <f t="shared" si="1"/>
      </c>
      <c r="S53" s="82">
        <f>IF($O53="Inhibits beam to user",1,"")</f>
        <v>1</v>
      </c>
      <c r="T53" s="83">
        <f>SUM(Q53:R53)</f>
        <v>0</v>
      </c>
      <c r="U53" s="84"/>
      <c r="V53" s="84"/>
      <c r="W53" s="84"/>
    </row>
    <row r="54" spans="1:23" s="76" customFormat="1" ht="12.75">
      <c r="A54" s="134"/>
      <c r="B54" s="132"/>
      <c r="C54" s="132"/>
      <c r="D54" s="75"/>
      <c r="E54" s="135"/>
      <c r="F54" s="136"/>
      <c r="G54" s="137"/>
      <c r="H54" s="141">
        <v>38941.84166666667</v>
      </c>
      <c r="I54" s="141">
        <v>38941.92222222222</v>
      </c>
      <c r="J54" s="142"/>
      <c r="K54" s="142">
        <f>(I54-H54)*24</f>
        <v>1.9333333333488554</v>
      </c>
      <c r="L54" s="143" t="s">
        <v>129</v>
      </c>
      <c r="M54" s="143" t="s">
        <v>129</v>
      </c>
      <c r="N54" s="143" t="s">
        <v>129</v>
      </c>
      <c r="O54" s="145" t="s">
        <v>94</v>
      </c>
      <c r="P54" s="146"/>
      <c r="Q54" s="12"/>
      <c r="R54" s="12"/>
      <c r="S54" s="12">
        <f t="shared" si="11"/>
        <v>1</v>
      </c>
      <c r="T54" s="54"/>
      <c r="U54" s="3"/>
      <c r="V54" s="3"/>
      <c r="W54" s="3"/>
    </row>
    <row r="55" spans="1:23" s="76" customFormat="1" ht="12.75">
      <c r="A55" s="134"/>
      <c r="B55" s="132"/>
      <c r="C55" s="132"/>
      <c r="D55" s="75"/>
      <c r="E55" s="135"/>
      <c r="F55" s="136"/>
      <c r="G55" s="137"/>
      <c r="H55" s="153">
        <v>38941.92222222222</v>
      </c>
      <c r="I55" s="147">
        <v>38941.97430555556</v>
      </c>
      <c r="J55" s="148"/>
      <c r="K55" s="148">
        <f>(I55-H55)*24-0.45</f>
        <v>0.8000000000582077</v>
      </c>
      <c r="L55" s="149" t="s">
        <v>102</v>
      </c>
      <c r="M55" s="149" t="s">
        <v>102</v>
      </c>
      <c r="N55" s="149" t="s">
        <v>102</v>
      </c>
      <c r="O55" s="151" t="s">
        <v>94</v>
      </c>
      <c r="P55" s="152"/>
      <c r="Q55" s="12"/>
      <c r="R55" s="12"/>
      <c r="S55" s="12">
        <f t="shared" si="11"/>
        <v>1</v>
      </c>
      <c r="T55" s="54"/>
      <c r="U55" s="3"/>
      <c r="V55" s="3"/>
      <c r="W55" s="3"/>
    </row>
    <row r="56" spans="1:23" s="76" customFormat="1" ht="12.75">
      <c r="A56" s="134"/>
      <c r="B56" s="132"/>
      <c r="C56" s="132"/>
      <c r="D56" s="75"/>
      <c r="E56" s="135"/>
      <c r="F56" s="136"/>
      <c r="G56" s="137"/>
      <c r="H56" s="141">
        <v>38941.97430555556</v>
      </c>
      <c r="I56" s="141">
        <v>38942.68263888889</v>
      </c>
      <c r="J56" s="142"/>
      <c r="K56" s="142">
        <f>(I56-H56)*24</f>
        <v>16.999999999883585</v>
      </c>
      <c r="L56" s="143" t="s">
        <v>39</v>
      </c>
      <c r="M56" s="143" t="s">
        <v>39</v>
      </c>
      <c r="N56" s="143" t="s">
        <v>39</v>
      </c>
      <c r="O56" s="145" t="s">
        <v>94</v>
      </c>
      <c r="P56" s="146"/>
      <c r="Q56" s="12"/>
      <c r="R56" s="12"/>
      <c r="S56" s="12">
        <f t="shared" si="11"/>
        <v>1</v>
      </c>
      <c r="T56" s="54"/>
      <c r="U56" s="3"/>
      <c r="V56" s="3"/>
      <c r="W56" s="3"/>
    </row>
    <row r="57" spans="1:23" s="76" customFormat="1" ht="12.75">
      <c r="A57" s="134"/>
      <c r="B57" s="132"/>
      <c r="C57" s="132"/>
      <c r="D57" s="75"/>
      <c r="E57" s="135"/>
      <c r="F57" s="136"/>
      <c r="G57" s="137"/>
      <c r="H57" s="147">
        <v>38942.68263888889</v>
      </c>
      <c r="I57" s="147">
        <v>38942.80763888889</v>
      </c>
      <c r="J57" s="148"/>
      <c r="K57" s="148">
        <f>(I57-H57)*24</f>
        <v>3</v>
      </c>
      <c r="L57" s="149" t="s">
        <v>116</v>
      </c>
      <c r="M57" s="149" t="s">
        <v>116</v>
      </c>
      <c r="N57" s="149" t="s">
        <v>116</v>
      </c>
      <c r="O57" s="151" t="s">
        <v>94</v>
      </c>
      <c r="P57" s="152"/>
      <c r="Q57" s="12"/>
      <c r="R57" s="12"/>
      <c r="S57" s="12">
        <f t="shared" si="11"/>
        <v>1</v>
      </c>
      <c r="T57" s="54"/>
      <c r="U57" s="3"/>
      <c r="V57" s="3"/>
      <c r="W57" s="3"/>
    </row>
    <row r="58" spans="1:23" s="76" customFormat="1" ht="12.75">
      <c r="A58" s="134"/>
      <c r="B58" s="132"/>
      <c r="C58" s="132"/>
      <c r="D58" s="75"/>
      <c r="E58" s="135"/>
      <c r="F58" s="136"/>
      <c r="G58" s="137"/>
      <c r="H58" s="141">
        <v>38942.80763888889</v>
      </c>
      <c r="I58" s="141">
        <v>38942.875</v>
      </c>
      <c r="J58" s="142"/>
      <c r="K58" s="142">
        <f>(I58-H58)*24+0.45</f>
        <v>2.066666666697711</v>
      </c>
      <c r="L58" s="143" t="s">
        <v>129</v>
      </c>
      <c r="M58" s="143" t="s">
        <v>129</v>
      </c>
      <c r="N58" s="143" t="s">
        <v>129</v>
      </c>
      <c r="O58" s="145" t="s">
        <v>94</v>
      </c>
      <c r="P58" s="146"/>
      <c r="Q58" s="12"/>
      <c r="R58" s="12"/>
      <c r="S58" s="12">
        <f t="shared" si="11"/>
        <v>1</v>
      </c>
      <c r="T58" s="54"/>
      <c r="U58" s="3"/>
      <c r="V58" s="3"/>
      <c r="W58" s="3"/>
    </row>
    <row r="59" spans="1:23" s="76" customFormat="1" ht="12.75">
      <c r="A59" s="134">
        <v>33</v>
      </c>
      <c r="B59" s="132">
        <v>38942.875</v>
      </c>
      <c r="C59" s="132">
        <v>38944.33263888889</v>
      </c>
      <c r="D59" s="75">
        <f>(C59-B59)*24</f>
        <v>34.983333333337214</v>
      </c>
      <c r="E59" s="135" t="s">
        <v>38</v>
      </c>
      <c r="F59" s="136"/>
      <c r="G59" s="137"/>
      <c r="H59" s="132"/>
      <c r="I59" s="132"/>
      <c r="J59" s="75">
        <f>(I59-H59)*24</f>
        <v>0</v>
      </c>
      <c r="K59" s="75">
        <f>(I59-H59)*24</f>
        <v>0</v>
      </c>
      <c r="L59" s="138" t="s">
        <v>24</v>
      </c>
      <c r="M59" s="138"/>
      <c r="N59" s="138"/>
      <c r="O59" s="139"/>
      <c r="P59" s="135"/>
      <c r="Q59" s="12">
        <f t="shared" si="8"/>
      </c>
      <c r="R59" s="12">
        <f t="shared" si="1"/>
        <v>1</v>
      </c>
      <c r="S59" s="12">
        <f aca="true" t="shared" si="13" ref="S59:S64">IF($O59="Inhibits beam to user",1,"")</f>
      </c>
      <c r="T59" s="54">
        <f aca="true" t="shared" si="14" ref="T59:T64">SUM(Q59:S59)</f>
        <v>1</v>
      </c>
      <c r="U59" s="3"/>
      <c r="V59" s="3"/>
      <c r="W59" s="3"/>
    </row>
    <row r="60" spans="1:23" s="76" customFormat="1" ht="12.75">
      <c r="A60" s="66"/>
      <c r="B60" s="67"/>
      <c r="C60" s="67"/>
      <c r="D60" s="68">
        <f>SUM(D53:D59)</f>
        <v>119.18333333329065</v>
      </c>
      <c r="E60" s="69"/>
      <c r="F60" s="70"/>
      <c r="G60" s="71"/>
      <c r="H60" s="67"/>
      <c r="I60" s="67"/>
      <c r="J60" s="68">
        <f>SUM(J53:J59)</f>
        <v>24.79999999998836</v>
      </c>
      <c r="K60" s="68">
        <f>SUM(K53:K59)</f>
        <v>24.79999999998836</v>
      </c>
      <c r="L60" s="72"/>
      <c r="M60" s="73"/>
      <c r="N60" s="73"/>
      <c r="O60" s="74"/>
      <c r="P60" s="69"/>
      <c r="Q60" s="55">
        <f t="shared" si="8"/>
      </c>
      <c r="R60" s="12">
        <f t="shared" si="1"/>
      </c>
      <c r="S60" s="12">
        <f t="shared" si="13"/>
      </c>
      <c r="T60" s="54">
        <f t="shared" si="14"/>
        <v>0</v>
      </c>
      <c r="U60" s="3"/>
      <c r="V60" s="3"/>
      <c r="W60" s="3"/>
    </row>
    <row r="61" spans="1:23" s="76" customFormat="1" ht="12.75">
      <c r="A61" s="134">
        <v>34</v>
      </c>
      <c r="B61" s="132">
        <v>38945.333333333336</v>
      </c>
      <c r="C61" s="132">
        <v>38947.774305555555</v>
      </c>
      <c r="D61" s="75">
        <f>(C61-B61)*24</f>
        <v>58.58333333325572</v>
      </c>
      <c r="E61" s="135" t="s">
        <v>91</v>
      </c>
      <c r="F61" s="136"/>
      <c r="G61" s="137"/>
      <c r="H61" s="132">
        <v>38947.774305555555</v>
      </c>
      <c r="I61" s="132">
        <v>38947.802777777775</v>
      </c>
      <c r="J61" s="75">
        <f>(I61-H61)*24</f>
        <v>0.6833333332906477</v>
      </c>
      <c r="K61" s="75">
        <f>(I61-H61)*24</f>
        <v>0.6833333332906477</v>
      </c>
      <c r="L61" s="138" t="s">
        <v>39</v>
      </c>
      <c r="M61" s="140" t="s">
        <v>39</v>
      </c>
      <c r="N61" s="140" t="s">
        <v>39</v>
      </c>
      <c r="O61" s="139" t="s">
        <v>26</v>
      </c>
      <c r="P61" s="135"/>
      <c r="Q61" s="12">
        <f>IF($O61="Store Lost",1,"")</f>
        <v>1</v>
      </c>
      <c r="R61" s="12">
        <f t="shared" si="1"/>
      </c>
      <c r="S61" s="12">
        <f t="shared" si="13"/>
      </c>
      <c r="T61" s="54">
        <f t="shared" si="14"/>
        <v>1</v>
      </c>
      <c r="U61" s="3"/>
      <c r="V61" s="3"/>
      <c r="W61" s="3"/>
    </row>
    <row r="62" spans="1:23" s="85" customFormat="1" ht="12.75">
      <c r="A62" s="94">
        <v>35</v>
      </c>
      <c r="B62" s="86">
        <v>38947.802777777775</v>
      </c>
      <c r="C62" s="86">
        <v>38948.08541666667</v>
      </c>
      <c r="D62" s="81">
        <f>(C62-B62)*24</f>
        <v>6.783333333441988</v>
      </c>
      <c r="E62" s="87" t="s">
        <v>128</v>
      </c>
      <c r="F62" s="88"/>
      <c r="G62" s="89"/>
      <c r="H62" s="86">
        <v>38948.08541666667</v>
      </c>
      <c r="I62" s="86">
        <v>38948.120833333334</v>
      </c>
      <c r="J62" s="81">
        <f>(I62-H62)*24</f>
        <v>0.8499999999767169</v>
      </c>
      <c r="K62" s="81">
        <f>(I62-H62)*24</f>
        <v>0.8499999999767169</v>
      </c>
      <c r="L62" s="90" t="s">
        <v>39</v>
      </c>
      <c r="M62" s="90" t="s">
        <v>39</v>
      </c>
      <c r="N62" s="90" t="s">
        <v>39</v>
      </c>
      <c r="O62" s="92" t="s">
        <v>26</v>
      </c>
      <c r="P62" s="87"/>
      <c r="Q62" s="82">
        <f t="shared" si="8"/>
        <v>1</v>
      </c>
      <c r="R62" s="82">
        <f t="shared" si="1"/>
      </c>
      <c r="S62" s="82">
        <f t="shared" si="13"/>
      </c>
      <c r="T62" s="83">
        <f t="shared" si="14"/>
        <v>1</v>
      </c>
      <c r="U62" s="84"/>
      <c r="V62" s="84"/>
      <c r="W62" s="84"/>
    </row>
    <row r="63" spans="1:23" s="76" customFormat="1" ht="12.75">
      <c r="A63" s="134">
        <v>36</v>
      </c>
      <c r="B63" s="132">
        <v>38948.120833333334</v>
      </c>
      <c r="C63" s="132">
        <v>38954.33263888889</v>
      </c>
      <c r="D63" s="75">
        <f>(C63-B63)*24</f>
        <v>149.08333333331393</v>
      </c>
      <c r="E63" s="135" t="s">
        <v>38</v>
      </c>
      <c r="F63" s="136"/>
      <c r="G63" s="137"/>
      <c r="H63" s="132"/>
      <c r="I63" s="132"/>
      <c r="J63" s="75">
        <f>(I63-H63)*24</f>
        <v>0</v>
      </c>
      <c r="K63" s="75">
        <f>(I63-H63)*24</f>
        <v>0</v>
      </c>
      <c r="L63" s="138" t="s">
        <v>24</v>
      </c>
      <c r="M63" s="138"/>
      <c r="N63" s="138"/>
      <c r="O63" s="139"/>
      <c r="P63" s="135"/>
      <c r="Q63" s="12">
        <f t="shared" si="8"/>
      </c>
      <c r="R63" s="12">
        <f t="shared" si="1"/>
        <v>1</v>
      </c>
      <c r="S63" s="12">
        <f t="shared" si="13"/>
      </c>
      <c r="T63" s="54">
        <f t="shared" si="14"/>
        <v>1</v>
      </c>
      <c r="U63" s="3"/>
      <c r="V63" s="3"/>
      <c r="W63" s="3"/>
    </row>
    <row r="64" spans="1:23" s="76" customFormat="1" ht="12.75">
      <c r="A64" s="66"/>
      <c r="B64" s="67"/>
      <c r="C64" s="67"/>
      <c r="D64" s="68">
        <f>SUM(D61:D63)</f>
        <v>214.45000000001164</v>
      </c>
      <c r="E64" s="69"/>
      <c r="F64" s="70"/>
      <c r="G64" s="71"/>
      <c r="H64" s="67"/>
      <c r="I64" s="67"/>
      <c r="J64" s="68">
        <f>SUM(J61:J63)</f>
        <v>1.5333333332673647</v>
      </c>
      <c r="K64" s="68">
        <f>SUM(K61:K63)</f>
        <v>1.5333333332673647</v>
      </c>
      <c r="L64" s="72"/>
      <c r="M64" s="73"/>
      <c r="N64" s="73"/>
      <c r="O64" s="74"/>
      <c r="P64" s="69"/>
      <c r="Q64" s="55">
        <f t="shared" si="8"/>
      </c>
      <c r="R64" s="12">
        <f t="shared" si="1"/>
      </c>
      <c r="S64" s="12">
        <f t="shared" si="13"/>
      </c>
      <c r="T64" s="54">
        <f t="shared" si="14"/>
        <v>0</v>
      </c>
      <c r="U64" s="3"/>
      <c r="V64" s="3"/>
      <c r="W64" s="3"/>
    </row>
    <row r="65" spans="1:18" ht="12.75">
      <c r="A65" s="29"/>
      <c r="B65" s="16"/>
      <c r="C65" s="16"/>
      <c r="D65" s="77"/>
      <c r="E65" s="14"/>
      <c r="F65" s="50"/>
      <c r="G65" s="48"/>
      <c r="K65" s="20"/>
      <c r="Q65" s="8"/>
      <c r="R65" s="1">
        <f>IF($P66="Store Lost",1,"")</f>
      </c>
    </row>
    <row r="66" spans="1:18" ht="12.75">
      <c r="A66" s="29"/>
      <c r="B66" s="16"/>
      <c r="C66" s="16"/>
      <c r="D66" s="7"/>
      <c r="E66" s="14"/>
      <c r="F66" s="50"/>
      <c r="G66" s="48"/>
      <c r="K66" s="20"/>
      <c r="Q66" s="8"/>
      <c r="R66" s="1">
        <f>IF($P67="Store Lost",1,"")</f>
      </c>
    </row>
    <row r="67" spans="1:18" ht="14.25" customHeight="1">
      <c r="A67" s="29"/>
      <c r="B67" s="16"/>
      <c r="C67" s="13" t="s">
        <v>15</v>
      </c>
      <c r="D67" s="40">
        <f>Q69</f>
        <v>22</v>
      </c>
      <c r="E67" s="14"/>
      <c r="F67" s="50"/>
      <c r="G67" s="48"/>
      <c r="H67" s="31"/>
      <c r="I67" s="31"/>
      <c r="J67" s="45" t="s">
        <v>8</v>
      </c>
      <c r="K67" s="56"/>
      <c r="L67" s="57"/>
      <c r="M67" s="58"/>
      <c r="N67" s="58"/>
      <c r="O67" s="65"/>
      <c r="P67" s="8"/>
      <c r="R67" s="1">
        <f>IF($L67="Scheduled",1,"")</f>
      </c>
    </row>
    <row r="68" spans="1:18" ht="12.75">
      <c r="A68" s="29"/>
      <c r="B68" s="16"/>
      <c r="C68" s="13" t="s">
        <v>18</v>
      </c>
      <c r="D68" s="40">
        <f>D69-D67</f>
        <v>13</v>
      </c>
      <c r="E68" s="14"/>
      <c r="F68" s="50"/>
      <c r="G68" s="48"/>
      <c r="H68" s="31"/>
      <c r="I68" s="31"/>
      <c r="J68" s="7" t="s">
        <v>9</v>
      </c>
      <c r="K68" s="34" t="s">
        <v>10</v>
      </c>
      <c r="L68" s="57"/>
      <c r="M68" s="58"/>
      <c r="N68" s="58"/>
      <c r="O68" s="65"/>
      <c r="P68" s="8"/>
      <c r="R68" s="1">
        <f>IF($L68="Scheduled",1,"")</f>
      </c>
    </row>
    <row r="69" spans="1:20" ht="13.5" thickBot="1">
      <c r="A69" s="29"/>
      <c r="B69" s="16"/>
      <c r="C69" s="13" t="s">
        <v>14</v>
      </c>
      <c r="D69" s="41">
        <f>COUNT(A6:A65)</f>
        <v>35</v>
      </c>
      <c r="E69" s="14"/>
      <c r="F69" s="50"/>
      <c r="G69" s="48"/>
      <c r="H69" s="31"/>
      <c r="I69" s="31"/>
      <c r="J69" s="25">
        <f>SUM(J6:J65)/2</f>
        <v>47.666666666278616</v>
      </c>
      <c r="K69" s="25">
        <f>SUM(K6:K65)/2</f>
        <v>47.66666666610399</v>
      </c>
      <c r="L69" s="57"/>
      <c r="M69" s="58"/>
      <c r="N69" s="58"/>
      <c r="O69" s="65"/>
      <c r="P69" s="8"/>
      <c r="Q69" s="41">
        <f>SUM(Q1:Q65)</f>
        <v>22</v>
      </c>
      <c r="R69" s="41">
        <f>SUM(R1:R65)</f>
        <v>12</v>
      </c>
      <c r="S69" s="41">
        <f>SUM(S1:S65)</f>
        <v>10</v>
      </c>
      <c r="T69" s="42">
        <f>SUM(Q69:S69)</f>
        <v>44</v>
      </c>
    </row>
    <row r="70" spans="1:19" ht="13.5" thickTop="1">
      <c r="A70" s="29"/>
      <c r="B70" s="16"/>
      <c r="C70" s="13"/>
      <c r="D70" s="7"/>
      <c r="E70" s="14"/>
      <c r="F70" s="50"/>
      <c r="G70" s="48"/>
      <c r="H70" s="31"/>
      <c r="I70" s="31"/>
      <c r="J70" s="7"/>
      <c r="K70" s="33"/>
      <c r="L70" s="57"/>
      <c r="M70" s="58"/>
      <c r="N70" s="58"/>
      <c r="O70" s="57"/>
      <c r="P70" s="8"/>
      <c r="Q70" s="1" t="s">
        <v>27</v>
      </c>
      <c r="R70" s="2" t="s">
        <v>24</v>
      </c>
      <c r="S70" s="1" t="s">
        <v>28</v>
      </c>
    </row>
    <row r="71" spans="1:20" ht="12.75">
      <c r="A71" s="29"/>
      <c r="B71" s="16"/>
      <c r="C71" s="13" t="s">
        <v>11</v>
      </c>
      <c r="D71" s="7">
        <f>SUM(D6:D65)/2</f>
        <v>1704.3000000002794</v>
      </c>
      <c r="E71" s="18">
        <f>D71/24</f>
        <v>71.01250000001164</v>
      </c>
      <c r="F71" s="52" t="s">
        <v>35</v>
      </c>
      <c r="G71" s="48"/>
      <c r="H71" s="31"/>
      <c r="I71" s="31"/>
      <c r="J71" s="7"/>
      <c r="K71" s="33"/>
      <c r="L71" s="57"/>
      <c r="M71" s="58"/>
      <c r="N71" s="58"/>
      <c r="O71" s="57"/>
      <c r="P71" s="8"/>
      <c r="Q71" s="1">
        <f>IF($O73="Store Lost",1,"")</f>
      </c>
      <c r="T71" s="42"/>
    </row>
    <row r="72" spans="1:17" ht="12.75">
      <c r="A72" s="29"/>
      <c r="B72" s="16"/>
      <c r="C72" s="13" t="s">
        <v>12</v>
      </c>
      <c r="D72" s="7">
        <f>J69</f>
        <v>47.666666666278616</v>
      </c>
      <c r="E72" s="14" t="s">
        <v>31</v>
      </c>
      <c r="F72" s="50"/>
      <c r="G72" s="48"/>
      <c r="H72" s="31"/>
      <c r="I72" s="31"/>
      <c r="J72" s="7"/>
      <c r="K72" s="33"/>
      <c r="L72" s="57"/>
      <c r="M72" s="58"/>
      <c r="N72" s="58"/>
      <c r="O72" s="57"/>
      <c r="P72" s="8"/>
      <c r="Q72" s="1">
        <f>IF($O74="Store Lost",1,"")</f>
      </c>
    </row>
    <row r="73" spans="1:29" ht="13.5" thickBot="1">
      <c r="A73" s="29"/>
      <c r="B73" s="16"/>
      <c r="C73" s="13" t="s">
        <v>13</v>
      </c>
      <c r="D73" s="41">
        <f>SUM(D71:D72)</f>
        <v>1751.966666666558</v>
      </c>
      <c r="E73" s="18"/>
      <c r="F73" s="50"/>
      <c r="G73" s="48"/>
      <c r="H73" s="31"/>
      <c r="I73" s="31"/>
      <c r="J73" s="7"/>
      <c r="K73" s="33"/>
      <c r="L73" s="57"/>
      <c r="M73" s="58"/>
      <c r="N73" s="58"/>
      <c r="O73" s="57"/>
      <c r="P73" s="8"/>
      <c r="Q73" s="1">
        <f>IF($O75="Store Lost",1,"")</f>
      </c>
      <c r="AA73" s="3"/>
      <c r="AB73" s="3"/>
      <c r="AC73" s="3"/>
    </row>
    <row r="74" spans="1:18" ht="13.5" thickTop="1">
      <c r="A74" s="29"/>
      <c r="B74" s="16"/>
      <c r="C74" s="13"/>
      <c r="D74" s="26"/>
      <c r="E74" s="47"/>
      <c r="F74" s="50"/>
      <c r="G74" s="48"/>
      <c r="H74" s="7"/>
      <c r="I74" s="31"/>
      <c r="J74" s="7"/>
      <c r="K74" s="33"/>
      <c r="L74" s="57"/>
      <c r="M74" s="58"/>
      <c r="N74" s="58"/>
      <c r="O74" s="57"/>
      <c r="P74" s="8"/>
      <c r="Q74" s="43">
        <f>Q69+R69</f>
        <v>34</v>
      </c>
      <c r="R74" s="1">
        <f aca="true" t="shared" si="15" ref="R74:R88">IF($P76="Store Lost",1,"")</f>
      </c>
    </row>
    <row r="75" spans="1:26" ht="12.75">
      <c r="A75" s="29"/>
      <c r="B75" s="16"/>
      <c r="C75" s="13"/>
      <c r="D75" s="26"/>
      <c r="E75" s="14"/>
      <c r="F75" s="50"/>
      <c r="G75" s="48"/>
      <c r="H75" s="31"/>
      <c r="I75" s="31"/>
      <c r="J75" s="7"/>
      <c r="K75" s="33"/>
      <c r="L75" s="57"/>
      <c r="M75" s="58"/>
      <c r="N75" s="58"/>
      <c r="O75" s="57"/>
      <c r="P75" s="8"/>
      <c r="Q75" s="8"/>
      <c r="R75" s="1">
        <f t="shared" si="15"/>
      </c>
      <c r="S75" s="3"/>
      <c r="T75" s="3"/>
      <c r="U75" s="3"/>
      <c r="V75" s="3"/>
      <c r="W75" s="3"/>
      <c r="X75" s="3"/>
      <c r="Y75" s="3"/>
      <c r="Z75" s="3"/>
    </row>
    <row r="76" spans="1:18" ht="12.75">
      <c r="A76" s="29"/>
      <c r="B76" s="16"/>
      <c r="C76" s="13" t="s">
        <v>29</v>
      </c>
      <c r="D76" s="27">
        <f>IF(D67,D71/D67,D71)</f>
        <v>77.46818181819452</v>
      </c>
      <c r="E76" s="14"/>
      <c r="F76" s="50"/>
      <c r="G76" s="48"/>
      <c r="J76" s="32"/>
      <c r="K76" s="20"/>
      <c r="Q76" s="8"/>
      <c r="R76" s="1">
        <f t="shared" si="15"/>
      </c>
    </row>
    <row r="77" spans="1:18" ht="12.75">
      <c r="A77" s="29"/>
      <c r="B77" s="16"/>
      <c r="C77" s="13" t="s">
        <v>16</v>
      </c>
      <c r="D77" s="26">
        <f>IF(D67,24/D76,0)</f>
        <v>0.3098046118640576</v>
      </c>
      <c r="E77" s="78"/>
      <c r="F77" s="80"/>
      <c r="G77" s="79"/>
      <c r="K77" s="20"/>
      <c r="Q77" s="8"/>
      <c r="R77" s="1" t="e">
        <f>IF(#REF!="Store Lost",1,"")</f>
        <v>#REF!</v>
      </c>
    </row>
    <row r="78" spans="1:18" ht="12.75">
      <c r="A78" s="29"/>
      <c r="B78" s="16"/>
      <c r="C78" s="13" t="s">
        <v>17</v>
      </c>
      <c r="D78" s="36">
        <f>D71/D73</f>
        <v>0.9727924808312859</v>
      </c>
      <c r="E78" s="21"/>
      <c r="F78" s="50"/>
      <c r="G78" s="48"/>
      <c r="K78" s="20"/>
      <c r="Q78" s="8"/>
      <c r="R78" s="1" t="e">
        <f>IF(#REF!="Store Lost",1,"")</f>
        <v>#REF!</v>
      </c>
    </row>
    <row r="79" spans="1:18" ht="12.75">
      <c r="A79" s="29"/>
      <c r="B79" s="16"/>
      <c r="C79" s="16"/>
      <c r="D79" s="7"/>
      <c r="E79" s="14"/>
      <c r="F79" s="50"/>
      <c r="G79" s="48"/>
      <c r="K79" s="20"/>
      <c r="Q79" s="8"/>
      <c r="R79" s="1">
        <f t="shared" si="15"/>
      </c>
    </row>
    <row r="80" spans="1:18" ht="12.75">
      <c r="A80" s="29"/>
      <c r="B80" s="16"/>
      <c r="C80" s="16"/>
      <c r="D80" s="7"/>
      <c r="E80" s="14"/>
      <c r="F80" s="50"/>
      <c r="G80" s="48"/>
      <c r="K80" s="20"/>
      <c r="Q80" s="8"/>
      <c r="R80" s="1">
        <f t="shared" si="15"/>
      </c>
    </row>
    <row r="81" spans="1:18" ht="12.75">
      <c r="A81" s="29"/>
      <c r="B81" s="16"/>
      <c r="C81" s="16"/>
      <c r="D81" s="7"/>
      <c r="E81" s="14"/>
      <c r="F81" s="50"/>
      <c r="G81" s="48"/>
      <c r="K81" s="20"/>
      <c r="Q81" s="8"/>
      <c r="R81" s="1">
        <f t="shared" si="15"/>
      </c>
    </row>
    <row r="82" spans="1:18" ht="12.75">
      <c r="A82" s="29"/>
      <c r="B82" s="16"/>
      <c r="C82" s="16"/>
      <c r="D82" s="7"/>
      <c r="E82" s="14"/>
      <c r="F82" s="50"/>
      <c r="G82" s="48"/>
      <c r="K82" s="20"/>
      <c r="Q82" s="8"/>
      <c r="R82" s="1">
        <f t="shared" si="15"/>
      </c>
    </row>
    <row r="83" spans="1:18" ht="12.75">
      <c r="A83" s="29"/>
      <c r="B83" s="16"/>
      <c r="C83" s="16"/>
      <c r="D83" s="7"/>
      <c r="E83" s="14"/>
      <c r="F83" s="50"/>
      <c r="G83" s="48"/>
      <c r="K83" s="20"/>
      <c r="Q83" s="8"/>
      <c r="R83" s="1">
        <f t="shared" si="15"/>
      </c>
    </row>
    <row r="84" spans="1:29" s="5" customFormat="1" ht="13.5" thickBot="1">
      <c r="A84" s="29"/>
      <c r="B84" s="16"/>
      <c r="C84" s="16"/>
      <c r="D84" s="7"/>
      <c r="E84" s="14"/>
      <c r="F84" s="50"/>
      <c r="G84" s="48"/>
      <c r="H84" s="32"/>
      <c r="I84" s="32"/>
      <c r="J84" s="22"/>
      <c r="K84" s="20"/>
      <c r="L84" s="63"/>
      <c r="M84" s="64"/>
      <c r="N84" s="64"/>
      <c r="O84" s="63"/>
      <c r="P84" s="9"/>
      <c r="Q84" s="8"/>
      <c r="R84" s="1">
        <f t="shared" si="15"/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18" ht="12.75">
      <c r="A85" s="29"/>
      <c r="B85" s="16"/>
      <c r="C85" s="16"/>
      <c r="D85" s="7"/>
      <c r="E85" s="14"/>
      <c r="F85" s="50"/>
      <c r="G85" s="48"/>
      <c r="K85" s="20"/>
      <c r="Q85" s="8"/>
      <c r="R85" s="1">
        <f t="shared" si="15"/>
      </c>
    </row>
    <row r="86" spans="1:18" ht="12.75">
      <c r="A86" s="29"/>
      <c r="B86" s="16"/>
      <c r="C86" s="16"/>
      <c r="D86" s="7"/>
      <c r="E86" s="14"/>
      <c r="F86" s="50"/>
      <c r="G86" s="48"/>
      <c r="K86" s="20"/>
      <c r="Q86" s="8"/>
      <c r="R86" s="1">
        <f t="shared" si="15"/>
      </c>
    </row>
    <row r="87" spans="1:18" ht="12.75">
      <c r="A87" s="29"/>
      <c r="B87" s="16"/>
      <c r="C87" s="16"/>
      <c r="D87" s="7"/>
      <c r="E87" s="14"/>
      <c r="F87" s="50"/>
      <c r="G87" s="48"/>
      <c r="K87" s="20"/>
      <c r="Q87" s="8"/>
      <c r="R87" s="1">
        <f t="shared" si="15"/>
      </c>
    </row>
    <row r="88" spans="1:18" ht="12.75">
      <c r="A88" s="29"/>
      <c r="B88" s="16"/>
      <c r="C88" s="16"/>
      <c r="D88" s="7"/>
      <c r="E88" s="14"/>
      <c r="F88" s="50"/>
      <c r="G88" s="48"/>
      <c r="K88" s="20"/>
      <c r="Q88" s="8"/>
      <c r="R88" s="1">
        <f t="shared" si="15"/>
      </c>
    </row>
    <row r="89" spans="1:11" ht="12.75">
      <c r="A89" s="29"/>
      <c r="B89" s="16"/>
      <c r="C89" s="16"/>
      <c r="D89" s="7"/>
      <c r="E89" s="14"/>
      <c r="F89" s="50"/>
      <c r="G89" s="48"/>
      <c r="K89" s="20"/>
    </row>
    <row r="90" spans="1:11" ht="12.75">
      <c r="A90" s="29"/>
      <c r="B90" s="16"/>
      <c r="C90" s="16"/>
      <c r="D90" s="7"/>
      <c r="E90" s="14"/>
      <c r="F90" s="50"/>
      <c r="G90" s="48"/>
      <c r="K90" s="20"/>
    </row>
    <row r="91" spans="1:16" ht="12.75">
      <c r="A91" s="29"/>
      <c r="B91" s="16"/>
      <c r="C91" s="16"/>
      <c r="D91" s="7"/>
      <c r="E91" s="14"/>
      <c r="F91" s="50"/>
      <c r="G91" s="48"/>
      <c r="H91" s="31"/>
      <c r="I91" s="31"/>
      <c r="J91" s="7"/>
      <c r="K91" s="33"/>
      <c r="L91" s="57"/>
      <c r="M91" s="58"/>
      <c r="N91" s="58"/>
      <c r="O91" s="57"/>
      <c r="P91" s="8"/>
    </row>
    <row r="92" spans="1:16" ht="12.75">
      <c r="A92" s="29"/>
      <c r="B92" s="16"/>
      <c r="C92" s="16"/>
      <c r="E92" s="14"/>
      <c r="F92" s="50"/>
      <c r="G92" s="48"/>
      <c r="H92" s="31"/>
      <c r="I92" s="31"/>
      <c r="L92" s="57"/>
      <c r="M92" s="58"/>
      <c r="N92" s="58"/>
      <c r="O92" s="57"/>
      <c r="P92" s="8"/>
    </row>
    <row r="93" spans="1:29" s="4" customFormat="1" ht="13.5" thickBot="1">
      <c r="A93" s="29"/>
      <c r="B93" s="16"/>
      <c r="C93" s="16"/>
      <c r="D93" s="22"/>
      <c r="E93" s="14"/>
      <c r="F93" s="50"/>
      <c r="G93" s="48"/>
      <c r="H93" s="31"/>
      <c r="I93" s="31"/>
      <c r="J93" s="22"/>
      <c r="K93" s="35"/>
      <c r="L93" s="57"/>
      <c r="M93" s="58"/>
      <c r="N93" s="58"/>
      <c r="O93" s="57"/>
      <c r="P93" s="8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3" customFormat="1" ht="14.25" thickBot="1" thickTop="1">
      <c r="A94" s="29"/>
      <c r="B94" s="16"/>
      <c r="C94" s="16"/>
      <c r="D94" s="22"/>
      <c r="E94" s="14"/>
      <c r="F94" s="50"/>
      <c r="G94" s="48"/>
      <c r="H94" s="31"/>
      <c r="I94" s="31"/>
      <c r="J94" s="22"/>
      <c r="K94" s="35"/>
      <c r="L94" s="57"/>
      <c r="M94" s="58"/>
      <c r="N94" s="58"/>
      <c r="O94" s="57"/>
      <c r="P94" s="8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5"/>
      <c r="AC94" s="5"/>
    </row>
    <row r="95" spans="1:16" ht="12.75">
      <c r="A95" s="29"/>
      <c r="B95" s="16"/>
      <c r="C95" s="16"/>
      <c r="F95" s="50"/>
      <c r="G95" s="48"/>
      <c r="H95" s="31"/>
      <c r="I95" s="31"/>
      <c r="L95" s="57"/>
      <c r="M95" s="58"/>
      <c r="N95" s="58"/>
      <c r="O95" s="57"/>
      <c r="P95" s="8"/>
    </row>
    <row r="96" spans="2:26" ht="13.5" thickBot="1">
      <c r="B96" s="16"/>
      <c r="C96" s="16"/>
      <c r="F96" s="50"/>
      <c r="G96" s="48"/>
      <c r="H96" s="31"/>
      <c r="I96" s="31"/>
      <c r="L96" s="57"/>
      <c r="M96" s="58"/>
      <c r="N96" s="58"/>
      <c r="O96" s="57"/>
      <c r="P96" s="8"/>
      <c r="R96" s="5"/>
      <c r="S96" s="5"/>
      <c r="T96" s="5"/>
      <c r="U96" s="5"/>
      <c r="V96" s="5"/>
      <c r="W96" s="5"/>
      <c r="X96" s="5"/>
      <c r="Y96" s="5"/>
      <c r="Z96" s="5"/>
    </row>
    <row r="97" spans="2:16" ht="12.75">
      <c r="B97" s="16"/>
      <c r="C97" s="16"/>
      <c r="F97" s="50"/>
      <c r="G97" s="48"/>
      <c r="H97" s="31"/>
      <c r="I97" s="31"/>
      <c r="L97" s="57"/>
      <c r="M97" s="58"/>
      <c r="N97" s="58"/>
      <c r="O97" s="57"/>
      <c r="P97" s="8"/>
    </row>
    <row r="98" spans="2:17" ht="12.75">
      <c r="B98" s="16"/>
      <c r="C98" s="16"/>
      <c r="F98" s="50"/>
      <c r="G98" s="48"/>
      <c r="H98" s="31"/>
      <c r="I98" s="31"/>
      <c r="L98" s="57"/>
      <c r="M98" s="58"/>
      <c r="N98" s="58"/>
      <c r="O98" s="57"/>
      <c r="P98" s="8"/>
      <c r="Q98" s="1">
        <f aca="true" t="shared" si="16" ref="Q98:Q155">IF($O100="Store Lost",1,"")</f>
      </c>
    </row>
    <row r="99" spans="2:17" ht="12.75">
      <c r="B99" s="16"/>
      <c r="C99" s="16"/>
      <c r="F99" s="50"/>
      <c r="G99" s="48"/>
      <c r="H99" s="31"/>
      <c r="I99" s="31"/>
      <c r="L99" s="57"/>
      <c r="M99" s="58"/>
      <c r="N99" s="58"/>
      <c r="O99" s="57"/>
      <c r="P99" s="8"/>
      <c r="Q99" s="1">
        <f t="shared" si="16"/>
      </c>
    </row>
    <row r="100" spans="2:17" ht="12.75">
      <c r="B100" s="16"/>
      <c r="C100" s="16"/>
      <c r="Q100" s="1">
        <f t="shared" si="16"/>
      </c>
    </row>
    <row r="101" ht="12.75">
      <c r="Q101" s="1">
        <f t="shared" si="16"/>
      </c>
    </row>
    <row r="102" ht="12.75">
      <c r="Q102" s="1">
        <f t="shared" si="16"/>
      </c>
    </row>
    <row r="103" spans="17:29" ht="13.5" thickBot="1">
      <c r="Q103" s="1">
        <f t="shared" si="16"/>
      </c>
      <c r="AA103" s="4"/>
      <c r="AB103" s="4"/>
      <c r="AC103" s="4"/>
    </row>
    <row r="104" spans="17:29" ht="13.5" thickTop="1">
      <c r="Q104" s="1">
        <f t="shared" si="16"/>
      </c>
      <c r="AA104" s="3"/>
      <c r="AB104" s="3"/>
      <c r="AC104" s="3"/>
    </row>
    <row r="105" spans="17:26" ht="13.5" thickBot="1">
      <c r="Q105" s="1">
        <f t="shared" si="16"/>
      </c>
      <c r="R105" s="4"/>
      <c r="S105" s="4"/>
      <c r="T105" s="4"/>
      <c r="U105" s="4"/>
      <c r="V105" s="4"/>
      <c r="W105" s="4"/>
      <c r="X105" s="4"/>
      <c r="Y105" s="4"/>
      <c r="Z105" s="4"/>
    </row>
    <row r="106" spans="17:26" ht="13.5" thickTop="1">
      <c r="Q106" s="1">
        <f t="shared" si="16"/>
      </c>
      <c r="R106" s="3"/>
      <c r="S106" s="3"/>
      <c r="T106" s="3"/>
      <c r="U106" s="3"/>
      <c r="V106" s="3"/>
      <c r="W106" s="3"/>
      <c r="X106" s="3"/>
      <c r="Y106" s="3"/>
      <c r="Z106" s="3"/>
    </row>
    <row r="107" spans="1:29" s="5" customFormat="1" ht="13.5" thickBot="1">
      <c r="A107" s="30"/>
      <c r="B107" s="19"/>
      <c r="C107" s="19"/>
      <c r="D107" s="22"/>
      <c r="E107" s="23"/>
      <c r="F107" s="51"/>
      <c r="G107" s="49"/>
      <c r="H107" s="32"/>
      <c r="I107" s="32"/>
      <c r="J107" s="22"/>
      <c r="K107" s="35"/>
      <c r="L107" s="63"/>
      <c r="M107" s="64"/>
      <c r="N107" s="64"/>
      <c r="O107" s="63"/>
      <c r="P107" s="9"/>
      <c r="Q107" s="1">
        <f t="shared" si="16"/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t="12.75">
      <c r="Q108" s="1">
        <f t="shared" si="16"/>
      </c>
    </row>
    <row r="109" ht="12.75">
      <c r="Q109" s="1">
        <f t="shared" si="16"/>
      </c>
    </row>
    <row r="110" ht="12.75">
      <c r="Q110" s="1">
        <f t="shared" si="16"/>
      </c>
    </row>
    <row r="111" ht="12.75">
      <c r="Q111" s="1">
        <f t="shared" si="16"/>
      </c>
    </row>
    <row r="112" ht="12.75">
      <c r="Q112" s="1">
        <f t="shared" si="16"/>
      </c>
    </row>
    <row r="113" ht="12.75">
      <c r="Q113" s="1">
        <f t="shared" si="16"/>
      </c>
    </row>
    <row r="114" ht="12.75">
      <c r="Q114" s="1">
        <f t="shared" si="16"/>
      </c>
    </row>
    <row r="115" ht="12.75">
      <c r="Q115" s="1">
        <f t="shared" si="16"/>
      </c>
    </row>
    <row r="116" ht="12.75">
      <c r="Q116" s="1">
        <f t="shared" si="16"/>
      </c>
    </row>
    <row r="117" spans="17:29" ht="13.5" thickBot="1">
      <c r="Q117" s="1">
        <f t="shared" si="16"/>
      </c>
      <c r="AA117" s="5"/>
      <c r="AB117" s="5"/>
      <c r="AC117" s="5"/>
    </row>
    <row r="118" ht="12.75">
      <c r="Q118" s="1">
        <f t="shared" si="16"/>
      </c>
    </row>
    <row r="119" spans="17:26" ht="13.5" thickBot="1">
      <c r="Q119" s="1">
        <f t="shared" si="16"/>
      </c>
      <c r="R119" s="5"/>
      <c r="S119" s="5"/>
      <c r="T119" s="5"/>
      <c r="U119" s="5"/>
      <c r="V119" s="5"/>
      <c r="W119" s="5"/>
      <c r="X119" s="5"/>
      <c r="Y119" s="5"/>
      <c r="Z119" s="5"/>
    </row>
    <row r="120" spans="1:29" s="5" customFormat="1" ht="13.5" thickBot="1">
      <c r="A120" s="30"/>
      <c r="B120" s="19"/>
      <c r="C120" s="19"/>
      <c r="D120" s="22"/>
      <c r="E120" s="23"/>
      <c r="F120" s="51"/>
      <c r="G120" s="49"/>
      <c r="H120" s="32"/>
      <c r="I120" s="32"/>
      <c r="J120" s="22"/>
      <c r="K120" s="35"/>
      <c r="L120" s="63"/>
      <c r="M120" s="64"/>
      <c r="N120" s="64"/>
      <c r="O120" s="63"/>
      <c r="P120" s="9"/>
      <c r="Q120" s="1">
        <f t="shared" si="16"/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s="3" customFormat="1" ht="12.75">
      <c r="A121" s="30"/>
      <c r="B121" s="19"/>
      <c r="C121" s="19"/>
      <c r="D121" s="22"/>
      <c r="E121" s="23"/>
      <c r="F121" s="51"/>
      <c r="G121" s="49"/>
      <c r="H121" s="32"/>
      <c r="I121" s="32"/>
      <c r="J121" s="22"/>
      <c r="K121" s="35"/>
      <c r="L121" s="63"/>
      <c r="M121" s="64"/>
      <c r="N121" s="64"/>
      <c r="O121" s="63"/>
      <c r="P121" s="9"/>
      <c r="Q121" s="1">
        <f t="shared" si="16"/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s="5" customFormat="1" ht="13.5" thickBot="1">
      <c r="A122" s="30"/>
      <c r="B122" s="19"/>
      <c r="C122" s="19"/>
      <c r="D122" s="22"/>
      <c r="E122" s="23"/>
      <c r="F122" s="51"/>
      <c r="G122" s="49"/>
      <c r="H122" s="32"/>
      <c r="I122" s="32"/>
      <c r="J122" s="22"/>
      <c r="K122" s="35"/>
      <c r="L122" s="63"/>
      <c r="M122" s="64"/>
      <c r="N122" s="64"/>
      <c r="O122" s="63"/>
      <c r="P122" s="9"/>
      <c r="Q122" s="1">
        <f t="shared" si="16"/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2.75">
      <c r="Q123" s="1">
        <f t="shared" si="16"/>
      </c>
    </row>
    <row r="124" ht="12.75">
      <c r="Q124" s="1">
        <f t="shared" si="16"/>
      </c>
    </row>
    <row r="125" ht="12.75">
      <c r="Q125" s="1">
        <f t="shared" si="16"/>
      </c>
    </row>
    <row r="126" ht="12.75">
      <c r="Q126" s="1">
        <f t="shared" si="16"/>
      </c>
    </row>
    <row r="127" ht="12.75">
      <c r="Q127" s="1">
        <f t="shared" si="16"/>
      </c>
    </row>
    <row r="128" ht="12.75">
      <c r="Q128" s="1">
        <f t="shared" si="16"/>
      </c>
    </row>
    <row r="129" ht="12.75">
      <c r="Q129" s="1">
        <f t="shared" si="16"/>
      </c>
    </row>
    <row r="130" spans="17:29" ht="13.5" thickBot="1">
      <c r="Q130" s="1">
        <f t="shared" si="16"/>
      </c>
      <c r="AA130" s="5"/>
      <c r="AB130" s="5"/>
      <c r="AC130" s="5"/>
    </row>
    <row r="131" spans="17:29" ht="12.75">
      <c r="Q131" s="1">
        <f t="shared" si="16"/>
      </c>
      <c r="AA131" s="3"/>
      <c r="AB131" s="3"/>
      <c r="AC131" s="3"/>
    </row>
    <row r="132" spans="17:29" ht="13.5" thickBot="1">
      <c r="Q132" s="1">
        <f t="shared" si="16"/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7:26" ht="12.75">
      <c r="Q133" s="1">
        <f t="shared" si="16"/>
      </c>
      <c r="R133" s="3"/>
      <c r="S133" s="3"/>
      <c r="T133" s="3"/>
      <c r="U133" s="3"/>
      <c r="V133" s="3"/>
      <c r="W133" s="3"/>
      <c r="X133" s="3"/>
      <c r="Y133" s="3"/>
      <c r="Z133" s="3"/>
    </row>
    <row r="134" spans="17:26" ht="13.5" thickBot="1">
      <c r="Q134" s="1">
        <f t="shared" si="16"/>
      </c>
      <c r="R134" s="5"/>
      <c r="S134" s="5"/>
      <c r="T134" s="5"/>
      <c r="U134" s="5"/>
      <c r="V134" s="5"/>
      <c r="W134" s="5"/>
      <c r="X134" s="5"/>
      <c r="Y134" s="5"/>
      <c r="Z134" s="5"/>
    </row>
    <row r="135" ht="12.75">
      <c r="Q135" s="1">
        <f t="shared" si="16"/>
      </c>
    </row>
    <row r="136" ht="12.75">
      <c r="Q136" s="1">
        <f t="shared" si="16"/>
      </c>
    </row>
    <row r="137" ht="12.75">
      <c r="Q137" s="1">
        <f t="shared" si="16"/>
      </c>
    </row>
    <row r="138" ht="12.75">
      <c r="Q138" s="1">
        <f t="shared" si="16"/>
      </c>
    </row>
    <row r="139" ht="12.75">
      <c r="Q139" s="1">
        <f t="shared" si="16"/>
      </c>
    </row>
    <row r="140" ht="12.75">
      <c r="Q140" s="1">
        <f t="shared" si="16"/>
      </c>
    </row>
    <row r="141" ht="12.75">
      <c r="Q141" s="1">
        <f t="shared" si="16"/>
      </c>
    </row>
    <row r="142" ht="12.75">
      <c r="Q142" s="1">
        <f t="shared" si="16"/>
      </c>
    </row>
    <row r="143" spans="1:29" s="5" customFormat="1" ht="13.5" thickBot="1">
      <c r="A143" s="30"/>
      <c r="B143" s="19"/>
      <c r="C143" s="19"/>
      <c r="D143" s="22"/>
      <c r="E143" s="23"/>
      <c r="F143" s="51"/>
      <c r="G143" s="49"/>
      <c r="H143" s="32"/>
      <c r="I143" s="32"/>
      <c r="J143" s="22"/>
      <c r="K143" s="35"/>
      <c r="L143" s="63"/>
      <c r="M143" s="64"/>
      <c r="N143" s="64"/>
      <c r="O143" s="63"/>
      <c r="P143" s="9"/>
      <c r="Q143" s="1">
        <f t="shared" si="16"/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ht="12.75">
      <c r="Q144" s="1">
        <f t="shared" si="16"/>
      </c>
    </row>
    <row r="145" ht="12.75">
      <c r="Q145" s="1">
        <f t="shared" si="16"/>
      </c>
    </row>
    <row r="146" ht="12.75">
      <c r="Q146" s="1">
        <f t="shared" si="16"/>
      </c>
    </row>
    <row r="147" ht="12.75">
      <c r="Q147" s="1">
        <f t="shared" si="16"/>
      </c>
    </row>
    <row r="148" ht="12.75">
      <c r="Q148" s="1">
        <f t="shared" si="16"/>
      </c>
    </row>
    <row r="149" ht="12.75">
      <c r="Q149" s="1">
        <f t="shared" si="16"/>
      </c>
    </row>
    <row r="150" ht="12.75">
      <c r="Q150" s="1">
        <f t="shared" si="16"/>
      </c>
    </row>
    <row r="151" ht="12.75">
      <c r="Q151" s="1">
        <f t="shared" si="16"/>
      </c>
    </row>
    <row r="152" ht="12.75">
      <c r="Q152" s="1">
        <f t="shared" si="16"/>
      </c>
    </row>
    <row r="153" spans="17:29" ht="13.5" thickBot="1">
      <c r="Q153" s="1">
        <f t="shared" si="16"/>
      </c>
      <c r="AA153" s="5"/>
      <c r="AB153" s="5"/>
      <c r="AC153" s="5"/>
    </row>
    <row r="154" ht="12.75">
      <c r="Q154" s="1">
        <f t="shared" si="16"/>
      </c>
    </row>
    <row r="155" spans="17:26" ht="13.5" thickBot="1">
      <c r="Q155" s="1">
        <f t="shared" si="16"/>
      </c>
      <c r="R155" s="5"/>
      <c r="S155" s="5"/>
      <c r="T155" s="5"/>
      <c r="U155" s="5"/>
      <c r="V155" s="5"/>
      <c r="W155" s="5"/>
      <c r="X155" s="5"/>
      <c r="Y155" s="5"/>
      <c r="Z155" s="5"/>
    </row>
    <row r="159" ht="12.75">
      <c r="Q159" s="1">
        <f>COUNT(Q65:Q155)</f>
        <v>2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97" max="15" man="1"/>
  </rowBreaks>
  <ignoredErrors>
    <ignoredError sqref="K5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8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21.140625" style="0" customWidth="1"/>
    <col min="2" max="9" width="8.28125" style="0" customWidth="1"/>
    <col min="10" max="10" width="10.57421875" style="0" customWidth="1"/>
    <col min="11" max="11" width="10.28125" style="0" customWidth="1"/>
    <col min="12" max="12" width="8.28125" style="0" customWidth="1"/>
    <col min="13" max="13" width="13.8515625" style="0" customWidth="1"/>
    <col min="14" max="14" width="8.28125" style="0" customWidth="1"/>
    <col min="15" max="15" width="12.421875" style="0" customWidth="1"/>
    <col min="16" max="16" width="9.8515625" style="0" customWidth="1"/>
    <col min="17" max="17" width="9.421875" style="0" customWidth="1"/>
    <col min="18" max="18" width="6.421875" style="0" customWidth="1"/>
    <col min="19" max="19" width="9.421875" style="0" customWidth="1"/>
    <col min="20" max="20" width="14.57421875" style="0" customWidth="1"/>
    <col min="21" max="21" width="9.00390625" style="0" customWidth="1"/>
    <col min="22" max="24" width="6.57421875" style="0" customWidth="1"/>
    <col min="25" max="25" width="11.140625" style="0" bestFit="1" customWidth="1"/>
    <col min="26" max="26" width="10.57421875" style="0" bestFit="1" customWidth="1"/>
  </cols>
  <sheetData>
    <row r="3" spans="1:10" ht="12.75">
      <c r="A3" s="97"/>
      <c r="B3" s="95" t="s">
        <v>37</v>
      </c>
      <c r="C3" s="104"/>
      <c r="D3" s="104"/>
      <c r="E3" s="104"/>
      <c r="F3" s="104"/>
      <c r="G3" s="104"/>
      <c r="H3" s="104"/>
      <c r="I3" s="104"/>
      <c r="J3" s="96"/>
    </row>
    <row r="4" spans="1:10" ht="12.75">
      <c r="A4" s="95" t="s">
        <v>44</v>
      </c>
      <c r="B4" s="97" t="s">
        <v>36</v>
      </c>
      <c r="C4" s="105" t="s">
        <v>39</v>
      </c>
      <c r="D4" s="105" t="s">
        <v>40</v>
      </c>
      <c r="E4" s="105" t="s">
        <v>66</v>
      </c>
      <c r="F4" s="105" t="s">
        <v>129</v>
      </c>
      <c r="G4" s="105" t="s">
        <v>93</v>
      </c>
      <c r="H4" s="105" t="s">
        <v>102</v>
      </c>
      <c r="I4" s="105" t="s">
        <v>116</v>
      </c>
      <c r="J4" s="98" t="s">
        <v>43</v>
      </c>
    </row>
    <row r="5" spans="1:10" ht="12.75">
      <c r="A5" s="97" t="s">
        <v>46</v>
      </c>
      <c r="B5" s="99">
        <v>1</v>
      </c>
      <c r="C5" s="106">
        <v>1</v>
      </c>
      <c r="D5" s="106">
        <v>0</v>
      </c>
      <c r="E5" s="106">
        <v>2</v>
      </c>
      <c r="F5" s="106">
        <v>2</v>
      </c>
      <c r="G5" s="106">
        <v>0</v>
      </c>
      <c r="H5" s="106">
        <v>2</v>
      </c>
      <c r="I5" s="106">
        <v>1</v>
      </c>
      <c r="J5" s="100">
        <v>9</v>
      </c>
    </row>
    <row r="6" spans="1:10" ht="12.75">
      <c r="A6" s="101" t="s">
        <v>45</v>
      </c>
      <c r="B6" s="102">
        <v>0</v>
      </c>
      <c r="C6" s="108">
        <v>0</v>
      </c>
      <c r="D6" s="108">
        <v>0</v>
      </c>
      <c r="E6" s="108">
        <v>0</v>
      </c>
      <c r="F6" s="108"/>
      <c r="G6" s="108">
        <v>0</v>
      </c>
      <c r="H6" s="108">
        <v>0</v>
      </c>
      <c r="I6" s="108"/>
      <c r="J6" s="103">
        <v>0</v>
      </c>
    </row>
    <row r="7" spans="1:10" ht="12.75">
      <c r="A7" s="101" t="s">
        <v>47</v>
      </c>
      <c r="B7" s="102">
        <v>3</v>
      </c>
      <c r="C7" s="108">
        <v>10</v>
      </c>
      <c r="D7" s="108">
        <v>2</v>
      </c>
      <c r="E7" s="108">
        <v>0</v>
      </c>
      <c r="F7" s="108"/>
      <c r="G7" s="108">
        <v>3</v>
      </c>
      <c r="H7" s="108">
        <v>4</v>
      </c>
      <c r="I7" s="108">
        <v>0</v>
      </c>
      <c r="J7" s="103">
        <v>22</v>
      </c>
    </row>
    <row r="8" spans="1:10" ht="12.75">
      <c r="A8" s="107" t="s">
        <v>48</v>
      </c>
      <c r="B8" s="109">
        <v>8.43333333323244</v>
      </c>
      <c r="C8" s="110">
        <v>22.71666666632518</v>
      </c>
      <c r="D8" s="110">
        <v>0.9999999999417923</v>
      </c>
      <c r="E8" s="110">
        <v>0.9999999999417923</v>
      </c>
      <c r="F8" s="110">
        <v>4.000000000046566</v>
      </c>
      <c r="G8" s="110">
        <v>1.783333333209157</v>
      </c>
      <c r="H8" s="110">
        <v>5.1166666666511444</v>
      </c>
      <c r="I8" s="110">
        <v>3.6166666667559184</v>
      </c>
      <c r="J8" s="111">
        <v>47.66666666610399</v>
      </c>
    </row>
    <row r="12" ht="13.5" thickBot="1"/>
    <row r="13" spans="2:19" ht="12.75">
      <c r="B13" s="113" t="s">
        <v>39</v>
      </c>
      <c r="C13" s="114" t="s">
        <v>49</v>
      </c>
      <c r="D13" s="114" t="s">
        <v>36</v>
      </c>
      <c r="E13" s="114" t="s">
        <v>50</v>
      </c>
      <c r="F13" s="114" t="s">
        <v>51</v>
      </c>
      <c r="G13" s="114" t="s">
        <v>52</v>
      </c>
      <c r="H13" s="114" t="s">
        <v>53</v>
      </c>
      <c r="I13" s="114" t="s">
        <v>54</v>
      </c>
      <c r="J13" s="114" t="s">
        <v>55</v>
      </c>
      <c r="K13" s="114" t="s">
        <v>56</v>
      </c>
      <c r="L13" s="114" t="s">
        <v>57</v>
      </c>
      <c r="M13" s="114" t="s">
        <v>58</v>
      </c>
      <c r="N13" s="114" t="s">
        <v>59</v>
      </c>
      <c r="O13" s="114" t="s">
        <v>60</v>
      </c>
      <c r="P13" s="114" t="s">
        <v>41</v>
      </c>
      <c r="Q13" s="115" t="s">
        <v>61</v>
      </c>
      <c r="R13" s="115" t="s">
        <v>43</v>
      </c>
      <c r="S13" s="116" t="s">
        <v>62</v>
      </c>
    </row>
    <row r="14" spans="1:19" s="123" customFormat="1" ht="12.75">
      <c r="A14" s="117" t="s">
        <v>64</v>
      </c>
      <c r="B14" s="120">
        <f>GETPIVOTDATA("Sum of System
Length",$A$3,"Group","RF")</f>
        <v>22.71666666632518</v>
      </c>
      <c r="C14" s="120">
        <f>GETPIVOTDATA("Sum of System
Length",$A$3,"Group","DIA")</f>
        <v>1.783333333209157</v>
      </c>
      <c r="D14" s="120">
        <f>GETPIVOTDATA("Sum of System
Length",$A$3,"Group","PS")</f>
        <v>8.43333333323244</v>
      </c>
      <c r="E14" s="120"/>
      <c r="F14" s="120"/>
      <c r="G14" s="120">
        <f>GETPIVOTDATA("Sum of System
Length",$A$3,"Group","SI")</f>
        <v>0.9999999999417923</v>
      </c>
      <c r="H14" s="120"/>
      <c r="I14" s="120">
        <f>GETPIVOTDATA("Sum of System
Length",$A$3,"Group","MOM")</f>
        <v>4.000000000046566</v>
      </c>
      <c r="J14" s="120">
        <f>GETPIVOTDATA("Sum of System
Length",$A$3,"Group","OA")</f>
        <v>3.6166666667559184</v>
      </c>
      <c r="K14" s="120"/>
      <c r="L14" s="120"/>
      <c r="M14" s="120">
        <f>GETPIVOTDATA("Sum of System
Length",$A$3,"Group","PFS")</f>
        <v>5.1166666666511444</v>
      </c>
      <c r="N14" s="120"/>
      <c r="O14" s="120"/>
      <c r="P14" s="121"/>
      <c r="Q14" s="121">
        <f>GETPIVOTDATA("Sum of System
Length",$A$3,"Group","UNK")</f>
        <v>0.9999999999417923</v>
      </c>
      <c r="R14" s="121">
        <f>SUM(B14:Q14)</f>
        <v>47.66666666610399</v>
      </c>
      <c r="S14" s="122"/>
    </row>
    <row r="15" spans="1:19" s="123" customFormat="1" ht="12.75">
      <c r="A15" s="117" t="s">
        <v>130</v>
      </c>
      <c r="B15" s="125">
        <f>IF(B14,SUM(B14/B24),"")</f>
        <v>0.012966380638706934</v>
      </c>
      <c r="C15" s="125">
        <f>IF(C14,SUM(C14/B24),"")</f>
        <v>0.0010179036891165743</v>
      </c>
      <c r="D15" s="125">
        <f>IF(D14,SUM(D14/B24),"")</f>
        <v>0.004813638006754103</v>
      </c>
      <c r="E15" s="125">
        <f>IF(E14,SUM(E14/B24),"")</f>
      </c>
      <c r="F15" s="125">
        <f>IF(F14,SUM(F14/B24),"")</f>
      </c>
      <c r="G15" s="125">
        <f>IF(G14,SUM(G14/B24),"")</f>
        <v>0.0005707871153989922</v>
      </c>
      <c r="H15" s="125">
        <f>IF(H14,SUM(H14/B24),"")</f>
      </c>
      <c r="I15" s="125">
        <f>IF(I14,SUM(I14/B24),"")</f>
        <v>0.002283148461755445</v>
      </c>
      <c r="J15" s="125">
        <f>IF(J14,SUM(J14/B24),"")</f>
        <v>0.0020643467341974597</v>
      </c>
      <c r="K15" s="125">
        <f>IF(K14,SUM(K14/B24),"")</f>
      </c>
      <c r="L15" s="125">
        <f>IF(L14,SUM(L14/B24),"")</f>
      </c>
      <c r="M15" s="125">
        <f>IF(M14,SUM(M14/B24),"")</f>
        <v>0.0029205274072859806</v>
      </c>
      <c r="N15" s="125">
        <f>IF(N14,SUM(N14/B24),"")</f>
      </c>
      <c r="O15" s="125">
        <f>IF(O14,SUM(O14/B24),"")</f>
      </c>
      <c r="P15" s="125">
        <f>IF(P14,SUM(P14/B24),"")</f>
      </c>
      <c r="Q15" s="125">
        <f>IF(Q14,SUM(Q14/B24),"")</f>
        <v>0.0005707871153989922</v>
      </c>
      <c r="R15" s="125">
        <f>IF(R14,SUM(R14/B24),"")</f>
        <v>0.02720751916861448</v>
      </c>
      <c r="S15" s="120">
        <f>IF(S14,SUM(S14/M13),"")</f>
      </c>
    </row>
    <row r="16" spans="1:19" ht="12.75">
      <c r="A16" s="117" t="s">
        <v>63</v>
      </c>
      <c r="B16" s="118">
        <v>0.009</v>
      </c>
      <c r="C16" s="118">
        <v>0.002</v>
      </c>
      <c r="D16" s="118">
        <v>0.009</v>
      </c>
      <c r="E16" s="118">
        <v>0.005</v>
      </c>
      <c r="F16" s="118">
        <v>0.001</v>
      </c>
      <c r="G16" s="118">
        <v>0.001</v>
      </c>
      <c r="H16" s="118">
        <v>0.001</v>
      </c>
      <c r="I16" s="118">
        <v>0.006</v>
      </c>
      <c r="J16" s="118">
        <v>0.002</v>
      </c>
      <c r="K16" s="118">
        <v>0</v>
      </c>
      <c r="L16" s="118">
        <v>0.001</v>
      </c>
      <c r="M16" s="118">
        <v>0.001</v>
      </c>
      <c r="N16" s="118">
        <v>0.003</v>
      </c>
      <c r="O16" s="118">
        <v>0.001</v>
      </c>
      <c r="P16" s="118">
        <v>0.003</v>
      </c>
      <c r="Q16" s="118">
        <v>0.001</v>
      </c>
      <c r="R16" s="118">
        <v>0.04600000000000001</v>
      </c>
      <c r="S16" s="119"/>
    </row>
    <row r="18" spans="1:18" ht="13.5" thickBot="1">
      <c r="A18" s="126" t="s">
        <v>65</v>
      </c>
      <c r="B18">
        <f>GETPIVOTDATA("Sum of Store Lost",$A$3,"Group","RF")</f>
        <v>10</v>
      </c>
      <c r="C18">
        <f>GETPIVOTDATA("Sum of Store Lost",$A$3,"Group","DIA")</f>
        <v>3</v>
      </c>
      <c r="D18">
        <f>GETPIVOTDATA("Sum of Store Lost",$A$3,"Group","PS")</f>
        <v>3</v>
      </c>
      <c r="G18">
        <f>GETPIVOTDATA("Sum of Store Lost",$A$3,"Group","SI")</f>
        <v>0</v>
      </c>
      <c r="I18">
        <f>GETPIVOTDATA("Sum of Store Lost",$A$3,"Group","MOM")</f>
        <v>0</v>
      </c>
      <c r="J18">
        <f>GETPIVOTDATA("Sum of Store Lost",$A$3,"Group","OA")</f>
        <v>0</v>
      </c>
      <c r="M18">
        <f>GETPIVOTDATA("Sum of Store Lost",$A$3,"Group","PFS")</f>
        <v>4</v>
      </c>
      <c r="Q18">
        <f>GETPIVOTDATA("Sum of Store Lost",$A$3,"Group","UNK")</f>
        <v>2</v>
      </c>
      <c r="R18" s="121">
        <f>SUM(B18:Q18)</f>
        <v>22</v>
      </c>
    </row>
    <row r="19" spans="2:18" ht="12.75">
      <c r="B19" s="113" t="s">
        <v>39</v>
      </c>
      <c r="C19" s="114" t="s">
        <v>49</v>
      </c>
      <c r="D19" s="114" t="s">
        <v>36</v>
      </c>
      <c r="E19" s="114" t="s">
        <v>50</v>
      </c>
      <c r="F19" s="114" t="s">
        <v>51</v>
      </c>
      <c r="G19" s="114" t="s">
        <v>52</v>
      </c>
      <c r="H19" s="114" t="s">
        <v>53</v>
      </c>
      <c r="I19" s="114" t="s">
        <v>129</v>
      </c>
      <c r="J19" s="114" t="s">
        <v>55</v>
      </c>
      <c r="K19" s="114" t="s">
        <v>56</v>
      </c>
      <c r="L19" s="114" t="s">
        <v>57</v>
      </c>
      <c r="M19" s="114" t="s">
        <v>58</v>
      </c>
      <c r="N19" s="114" t="s">
        <v>59</v>
      </c>
      <c r="O19" s="114" t="s">
        <v>60</v>
      </c>
      <c r="P19" s="114" t="s">
        <v>41</v>
      </c>
      <c r="Q19" s="115" t="s">
        <v>61</v>
      </c>
      <c r="R19" s="121"/>
    </row>
    <row r="20" spans="1:18" ht="12.75">
      <c r="A20" s="117" t="s">
        <v>130</v>
      </c>
      <c r="B20" s="129">
        <f aca="true" t="shared" si="0" ref="B20:J20">B18/($B23/24)</f>
        <v>0.1408202781200262</v>
      </c>
      <c r="C20" s="129">
        <f t="shared" si="0"/>
        <v>0.04224608343600786</v>
      </c>
      <c r="D20" s="129">
        <f t="shared" si="0"/>
        <v>0.04224608343600786</v>
      </c>
      <c r="E20" s="129">
        <f t="shared" si="0"/>
        <v>0</v>
      </c>
      <c r="F20" s="129">
        <f t="shared" si="0"/>
        <v>0</v>
      </c>
      <c r="G20" s="129">
        <f t="shared" si="0"/>
        <v>0</v>
      </c>
      <c r="H20" s="129">
        <f t="shared" si="0"/>
        <v>0</v>
      </c>
      <c r="I20" s="129">
        <f t="shared" si="0"/>
        <v>0</v>
      </c>
      <c r="J20" s="133">
        <f t="shared" si="0"/>
        <v>0</v>
      </c>
      <c r="K20" s="130"/>
      <c r="L20" s="129">
        <f>L18/($B23/24)</f>
        <v>0</v>
      </c>
      <c r="M20" s="133">
        <f>M18/($B23/24)</f>
        <v>0.05632811124801048</v>
      </c>
      <c r="N20" s="129">
        <f>N18/($B23/24)</f>
        <v>0</v>
      </c>
      <c r="O20" s="130"/>
      <c r="P20" s="130"/>
      <c r="Q20" s="129">
        <f>Q18/($B23/24)</f>
        <v>0.02816405562400524</v>
      </c>
      <c r="R20" s="129">
        <f>R18/($B23/24)</f>
        <v>0.30980461186405767</v>
      </c>
    </row>
    <row r="21" spans="1:19" ht="12.75">
      <c r="A21" s="127" t="s">
        <v>63</v>
      </c>
      <c r="B21" s="128">
        <v>0.12</v>
      </c>
      <c r="C21" s="128">
        <v>0.03</v>
      </c>
      <c r="D21" s="128">
        <v>0.1</v>
      </c>
      <c r="E21" s="128">
        <v>0.05</v>
      </c>
      <c r="F21" s="128">
        <v>0.01</v>
      </c>
      <c r="G21" s="128">
        <v>0.01</v>
      </c>
      <c r="H21" s="128">
        <v>0.02</v>
      </c>
      <c r="I21" s="128">
        <v>0.06</v>
      </c>
      <c r="J21" s="128">
        <v>0.02</v>
      </c>
      <c r="K21" s="124">
        <v>0</v>
      </c>
      <c r="L21" s="124">
        <v>0.01</v>
      </c>
      <c r="M21" s="124">
        <v>0.01</v>
      </c>
      <c r="N21" s="124">
        <v>0.01</v>
      </c>
      <c r="O21" s="124">
        <v>0.01</v>
      </c>
      <c r="P21" s="124">
        <v>0.02</v>
      </c>
      <c r="Q21" s="124">
        <v>0.02</v>
      </c>
      <c r="R21" s="124">
        <f>SUM(B21:Q21)</f>
        <v>0.5000000000000001</v>
      </c>
      <c r="S21" s="112"/>
    </row>
    <row r="23" spans="1:2" ht="12.75">
      <c r="A23" s="13" t="s">
        <v>11</v>
      </c>
      <c r="B23" s="123">
        <f>'Main Data'!D71</f>
        <v>1704.3000000002794</v>
      </c>
    </row>
    <row r="24" spans="1:2" ht="12.75">
      <c r="A24" s="131" t="s">
        <v>13</v>
      </c>
      <c r="B24" s="124">
        <f>'Main Data'!D73</f>
        <v>1751.966666666558</v>
      </c>
    </row>
    <row r="28" ht="12.75">
      <c r="A28" s="9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W13:W34"/>
  <sheetViews>
    <sheetView view="pageBreakPreview" zoomScale="60" workbookViewId="0" topLeftCell="C1">
      <selection activeCell="U35" sqref="U35"/>
    </sheetView>
  </sheetViews>
  <sheetFormatPr defaultColWidth="9.140625" defaultRowHeight="12.75"/>
  <cols>
    <col min="21" max="21" width="37.421875" style="0" customWidth="1"/>
  </cols>
  <sheetData>
    <row r="13" ht="12.75">
      <c r="W13" t="s">
        <v>67</v>
      </c>
    </row>
    <row r="15" ht="12.75">
      <c r="W15" t="s">
        <v>68</v>
      </c>
    </row>
    <row r="16" ht="12.75">
      <c r="W16" t="s">
        <v>69</v>
      </c>
    </row>
    <row r="17" ht="12.75">
      <c r="W17" t="s">
        <v>70</v>
      </c>
    </row>
    <row r="18" ht="12.75">
      <c r="W18" t="s">
        <v>71</v>
      </c>
    </row>
    <row r="19" ht="12.75">
      <c r="W19" t="s">
        <v>72</v>
      </c>
    </row>
    <row r="20" ht="12.75">
      <c r="W20" t="s">
        <v>73</v>
      </c>
    </row>
    <row r="21" ht="12.75">
      <c r="W21" t="s">
        <v>74</v>
      </c>
    </row>
    <row r="22" ht="12.75">
      <c r="W22" t="s">
        <v>75</v>
      </c>
    </row>
    <row r="23" ht="12.75">
      <c r="W23" t="s">
        <v>76</v>
      </c>
    </row>
    <row r="24" ht="12.75">
      <c r="W24" t="s">
        <v>77</v>
      </c>
    </row>
    <row r="25" ht="12.75">
      <c r="W25" t="s">
        <v>78</v>
      </c>
    </row>
    <row r="26" ht="12.75">
      <c r="W26" t="s">
        <v>79</v>
      </c>
    </row>
    <row r="27" ht="12.75">
      <c r="W27" t="s">
        <v>80</v>
      </c>
    </row>
    <row r="28" ht="12.75">
      <c r="W28" t="s">
        <v>81</v>
      </c>
    </row>
    <row r="29" ht="12.75">
      <c r="W29" t="s">
        <v>82</v>
      </c>
    </row>
    <row r="30" ht="12.75">
      <c r="W30" t="s">
        <v>83</v>
      </c>
    </row>
    <row r="31" ht="12.75">
      <c r="W31" t="s">
        <v>84</v>
      </c>
    </row>
    <row r="32" ht="12.75">
      <c r="W32" t="s">
        <v>85</v>
      </c>
    </row>
    <row r="33" ht="12.75">
      <c r="W33" t="s">
        <v>86</v>
      </c>
    </row>
    <row r="34" ht="12.75">
      <c r="W34" t="s">
        <v>87</v>
      </c>
    </row>
  </sheetData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I45" sqref="AI4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2005-08-26T15:17:20Z</cp:lastPrinted>
  <dcterms:created xsi:type="dcterms:W3CDTF">1998-01-15T00:06:45Z</dcterms:created>
  <dcterms:modified xsi:type="dcterms:W3CDTF">2007-12-04T14:51:27Z</dcterms:modified>
  <cp:category>Downtime</cp:category>
  <cp:version/>
  <cp:contentType/>
  <cp:contentStatus/>
</cp:coreProperties>
</file>